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Final\"/>
    </mc:Choice>
  </mc:AlternateContent>
  <xr:revisionPtr revIDLastSave="0" documentId="13_ncr:1_{25FC9106-FBAE-44F4-9603-2C047813345D}" xr6:coauthVersionLast="45" xr6:coauthVersionMax="45" xr10:uidLastSave="{00000000-0000-0000-0000-000000000000}"/>
  <bookViews>
    <workbookView xWindow="-110" yWindow="-110" windowWidth="19420" windowHeight="10420" tabRatio="774" firstSheet="3" activeTab="1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4" i="62" l="1"/>
  <c r="U51" i="62" s="1"/>
  <c r="U65" i="62" s="1"/>
  <c r="U42" i="62"/>
  <c r="T42" i="62"/>
  <c r="U40" i="62"/>
  <c r="T40" i="62"/>
  <c r="T44" i="62" s="1"/>
  <c r="T51" i="62" s="1"/>
  <c r="U30" i="62"/>
  <c r="T30" i="62"/>
  <c r="U26" i="62"/>
  <c r="U53" i="62" s="1"/>
  <c r="U62" i="62" s="1"/>
  <c r="U18" i="62"/>
  <c r="T18" i="62"/>
  <c r="U17" i="62"/>
  <c r="T17" i="62"/>
  <c r="U44" i="58"/>
  <c r="U51" i="58" s="1"/>
  <c r="V42" i="58"/>
  <c r="U42" i="58"/>
  <c r="U17" i="58" s="1"/>
  <c r="V40" i="58"/>
  <c r="V44" i="58" s="1"/>
  <c r="V51" i="58" s="1"/>
  <c r="U40" i="58"/>
  <c r="V30" i="58"/>
  <c r="U30" i="58"/>
  <c r="V18" i="58"/>
  <c r="U18" i="58"/>
  <c r="V17" i="58"/>
  <c r="V16" i="58"/>
  <c r="U16" i="58"/>
  <c r="Y42" i="52"/>
  <c r="X42" i="52"/>
  <c r="Y40" i="52"/>
  <c r="Y44" i="52" s="1"/>
  <c r="Y51" i="52" s="1"/>
  <c r="X40" i="52"/>
  <c r="X44" i="52" s="1"/>
  <c r="X51" i="52" s="1"/>
  <c r="Y30" i="52"/>
  <c r="X30" i="52"/>
  <c r="Y18" i="52"/>
  <c r="X18" i="52"/>
  <c r="Y17" i="52"/>
  <c r="Y65" i="52" s="1"/>
  <c r="X17" i="52"/>
  <c r="Y16" i="52"/>
  <c r="X16" i="52"/>
  <c r="Y41" i="51"/>
  <c r="X41" i="51"/>
  <c r="Y39" i="51"/>
  <c r="Y43" i="51" s="1"/>
  <c r="Y50" i="51" s="1"/>
  <c r="X39" i="51"/>
  <c r="X43" i="51" s="1"/>
  <c r="X50" i="51" s="1"/>
  <c r="Y30" i="51"/>
  <c r="X30" i="51"/>
  <c r="Y18" i="51"/>
  <c r="X18" i="51"/>
  <c r="Y17" i="51"/>
  <c r="X17" i="51"/>
  <c r="Y16" i="51"/>
  <c r="X16" i="51"/>
  <c r="U42" i="50"/>
  <c r="U44" i="50" s="1"/>
  <c r="U51" i="50" s="1"/>
  <c r="U65" i="50" s="1"/>
  <c r="T42" i="50"/>
  <c r="T44" i="50" s="1"/>
  <c r="T51" i="50" s="1"/>
  <c r="T65" i="50" s="1"/>
  <c r="U40" i="50"/>
  <c r="T40" i="50"/>
  <c r="U30" i="50"/>
  <c r="T30" i="50"/>
  <c r="U18" i="50"/>
  <c r="U26" i="50" s="1"/>
  <c r="T18" i="50"/>
  <c r="T26" i="50" s="1"/>
  <c r="T53" i="50" s="1"/>
  <c r="T62" i="50" s="1"/>
  <c r="U17" i="50"/>
  <c r="T17" i="50"/>
  <c r="O41" i="61"/>
  <c r="N41" i="61"/>
  <c r="O39" i="61"/>
  <c r="O43" i="61" s="1"/>
  <c r="O50" i="61" s="1"/>
  <c r="N39" i="61"/>
  <c r="N43" i="61" s="1"/>
  <c r="N50" i="61" s="1"/>
  <c r="O30" i="61"/>
  <c r="N30" i="61"/>
  <c r="O18" i="61"/>
  <c r="N18" i="6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X44" i="46"/>
  <c r="X51" i="46" s="1"/>
  <c r="Y42" i="46"/>
  <c r="X42" i="46"/>
  <c r="X17" i="46" s="1"/>
  <c r="Y40" i="46"/>
  <c r="Y44" i="46" s="1"/>
  <c r="Y51" i="46" s="1"/>
  <c r="X40" i="46"/>
  <c r="Y30" i="46"/>
  <c r="X30" i="46"/>
  <c r="Y18" i="46"/>
  <c r="X18" i="46"/>
  <c r="Y17" i="46"/>
  <c r="Y65" i="46" s="1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X25" i="32" s="1"/>
  <c r="Y16" i="32"/>
  <c r="X16" i="32"/>
  <c r="T65" i="62" l="1"/>
  <c r="T26" i="62"/>
  <c r="T53" i="62" s="1"/>
  <c r="T62" i="62" s="1"/>
  <c r="U65" i="58"/>
  <c r="U26" i="58"/>
  <c r="U53" i="58" s="1"/>
  <c r="U62" i="58" s="1"/>
  <c r="V65" i="58"/>
  <c r="V26" i="58"/>
  <c r="V53" i="58" s="1"/>
  <c r="V62" i="58" s="1"/>
  <c r="X65" i="52"/>
  <c r="X26" i="52"/>
  <c r="X53" i="52" s="1"/>
  <c r="X62" i="52" s="1"/>
  <c r="Y26" i="52"/>
  <c r="Y53" i="52" s="1"/>
  <c r="Y62" i="52" s="1"/>
  <c r="X64" i="51"/>
  <c r="Y64" i="51"/>
  <c r="X25" i="51"/>
  <c r="X52" i="51" s="1"/>
  <c r="X61" i="51" s="1"/>
  <c r="Y25" i="51"/>
  <c r="Y52" i="51" s="1"/>
  <c r="Y61" i="51" s="1"/>
  <c r="U53" i="50"/>
  <c r="U62" i="50" s="1"/>
  <c r="N64" i="61"/>
  <c r="O64" i="61"/>
  <c r="N25" i="61"/>
  <c r="N52" i="61" s="1"/>
  <c r="N61" i="61" s="1"/>
  <c r="O25" i="61"/>
  <c r="O52" i="61" s="1"/>
  <c r="O61" i="61" s="1"/>
  <c r="P64" i="47"/>
  <c r="Q64" i="47"/>
  <c r="P25" i="47"/>
  <c r="P52" i="47" s="1"/>
  <c r="P61" i="47" s="1"/>
  <c r="Q25" i="47"/>
  <c r="Q52" i="47" s="1"/>
  <c r="Q61" i="47" s="1"/>
  <c r="X65" i="46"/>
  <c r="X26" i="46"/>
  <c r="X53" i="46" s="1"/>
  <c r="X62" i="46" s="1"/>
  <c r="Y26" i="46"/>
  <c r="Y53" i="46" s="1"/>
  <c r="Y62" i="46" s="1"/>
  <c r="Y64" i="32"/>
  <c r="X52" i="32"/>
  <c r="X61" i="32" s="1"/>
  <c r="X64" i="32"/>
  <c r="Y25" i="32"/>
  <c r="Y52" i="32" s="1"/>
  <c r="Y61" i="32" s="1"/>
  <c r="W42" i="52" l="1"/>
  <c r="V42" i="52"/>
  <c r="U42" i="52"/>
  <c r="U17" i="52" s="1"/>
  <c r="T42" i="52"/>
  <c r="T17" i="52" s="1"/>
  <c r="W40" i="52"/>
  <c r="W44" i="52" s="1"/>
  <c r="W51" i="52" s="1"/>
  <c r="V40" i="52"/>
  <c r="V44" i="52" s="1"/>
  <c r="V51" i="52" s="1"/>
  <c r="U40" i="52"/>
  <c r="U44" i="52" s="1"/>
  <c r="U51" i="52" s="1"/>
  <c r="T40" i="52"/>
  <c r="T44" i="52" s="1"/>
  <c r="T51" i="52" s="1"/>
  <c r="W30" i="52"/>
  <c r="V30" i="52"/>
  <c r="U30" i="52"/>
  <c r="T30" i="52"/>
  <c r="W18" i="52"/>
  <c r="V18" i="52"/>
  <c r="U18" i="52"/>
  <c r="T18" i="52"/>
  <c r="W17" i="52"/>
  <c r="W65" i="52" s="1"/>
  <c r="V17" i="52"/>
  <c r="V26" i="52" s="1"/>
  <c r="V53" i="52" s="1"/>
  <c r="V62" i="52" s="1"/>
  <c r="W16" i="52"/>
  <c r="V16" i="52"/>
  <c r="U16" i="52"/>
  <c r="T16" i="52"/>
  <c r="O42" i="52"/>
  <c r="N42" i="52"/>
  <c r="O40" i="52"/>
  <c r="O44" i="52" s="1"/>
  <c r="O51" i="52" s="1"/>
  <c r="O65" i="52" s="1"/>
  <c r="N40" i="52"/>
  <c r="N44" i="52" s="1"/>
  <c r="N51" i="52" s="1"/>
  <c r="O30" i="52"/>
  <c r="N30" i="52"/>
  <c r="O26" i="52"/>
  <c r="O53" i="52" s="1"/>
  <c r="O62" i="52" s="1"/>
  <c r="O18" i="52"/>
  <c r="N18" i="52"/>
  <c r="O17" i="52"/>
  <c r="N17" i="52"/>
  <c r="N65" i="52" s="1"/>
  <c r="O16" i="52"/>
  <c r="N16" i="52"/>
  <c r="T65" i="52" l="1"/>
  <c r="T26" i="52"/>
  <c r="T53" i="52" s="1"/>
  <c r="T62" i="52" s="1"/>
  <c r="U65" i="52"/>
  <c r="U26" i="52"/>
  <c r="U53" i="52" s="1"/>
  <c r="U62" i="52" s="1"/>
  <c r="V65" i="52"/>
  <c r="W26" i="52"/>
  <c r="W53" i="52" s="1"/>
  <c r="W62" i="52" s="1"/>
  <c r="N26" i="52"/>
  <c r="N53" i="52" s="1"/>
  <c r="N62" i="52" s="1"/>
  <c r="W42" i="46" l="1"/>
  <c r="V42" i="46"/>
  <c r="W40" i="46"/>
  <c r="W44" i="46" s="1"/>
  <c r="W51" i="46" s="1"/>
  <c r="V40" i="46"/>
  <c r="W30" i="46"/>
  <c r="V30" i="46"/>
  <c r="W18" i="46"/>
  <c r="V18" i="46"/>
  <c r="W17" i="46"/>
  <c r="V17" i="46"/>
  <c r="W16" i="46"/>
  <c r="V16" i="46"/>
  <c r="V44" i="46" l="1"/>
  <c r="V51" i="46" s="1"/>
  <c r="V65" i="46" s="1"/>
  <c r="W65" i="46"/>
  <c r="V26" i="46"/>
  <c r="W26" i="46"/>
  <c r="W53" i="46" s="1"/>
  <c r="W62" i="46" s="1"/>
  <c r="V53" i="46" l="1"/>
  <c r="V62" i="46" s="1"/>
  <c r="K41" i="63"/>
  <c r="J41" i="63"/>
  <c r="K39" i="63"/>
  <c r="K43" i="63" s="1"/>
  <c r="K50" i="63" s="1"/>
  <c r="J39" i="63"/>
  <c r="J43" i="63" s="1"/>
  <c r="J50" i="63" s="1"/>
  <c r="K30" i="63"/>
  <c r="J30" i="63"/>
  <c r="K18" i="63"/>
  <c r="J18" i="63"/>
  <c r="K17" i="63"/>
  <c r="J17" i="63"/>
  <c r="J64" i="63" l="1"/>
  <c r="K64" i="63"/>
  <c r="J25" i="63"/>
  <c r="J52" i="63" s="1"/>
  <c r="J61" i="63" s="1"/>
  <c r="K25" i="63"/>
  <c r="K52" i="63" s="1"/>
  <c r="K61" i="63" s="1"/>
  <c r="I41" i="63" l="1"/>
  <c r="H41" i="63"/>
  <c r="I39" i="63"/>
  <c r="I43" i="63" s="1"/>
  <c r="I50" i="63" s="1"/>
  <c r="H39" i="63"/>
  <c r="H43" i="63" s="1"/>
  <c r="H50" i="63" s="1"/>
  <c r="I30" i="63"/>
  <c r="H30" i="63"/>
  <c r="I18" i="63"/>
  <c r="H18" i="63"/>
  <c r="I17" i="63"/>
  <c r="H17" i="63"/>
  <c r="M42" i="59"/>
  <c r="L42" i="59"/>
  <c r="M40" i="59"/>
  <c r="M44" i="59" s="1"/>
  <c r="M51" i="59" s="1"/>
  <c r="L40" i="59"/>
  <c r="L44" i="59" s="1"/>
  <c r="L51" i="59" s="1"/>
  <c r="M30" i="59"/>
  <c r="L30" i="59"/>
  <c r="M18" i="59"/>
  <c r="L18" i="59"/>
  <c r="M17" i="59"/>
  <c r="L17" i="59"/>
  <c r="M16" i="59"/>
  <c r="L16" i="59"/>
  <c r="S42" i="62"/>
  <c r="R42" i="62"/>
  <c r="S40" i="62"/>
  <c r="S44" i="62" s="1"/>
  <c r="S51" i="62" s="1"/>
  <c r="R40" i="62"/>
  <c r="R44" i="62" s="1"/>
  <c r="R51" i="62" s="1"/>
  <c r="S30" i="62"/>
  <c r="R30" i="62"/>
  <c r="S18" i="62"/>
  <c r="R18" i="62"/>
  <c r="S17" i="62"/>
  <c r="R17" i="62"/>
  <c r="T42" i="58"/>
  <c r="S42" i="58"/>
  <c r="T40" i="58"/>
  <c r="T44" i="58" s="1"/>
  <c r="T51" i="58" s="1"/>
  <c r="S40" i="58"/>
  <c r="S44" i="58" s="1"/>
  <c r="S51" i="58" s="1"/>
  <c r="T30" i="58"/>
  <c r="S30" i="58"/>
  <c r="T18" i="58"/>
  <c r="S18" i="58"/>
  <c r="T17" i="58"/>
  <c r="T65" i="58" s="1"/>
  <c r="S17" i="58"/>
  <c r="T16" i="58"/>
  <c r="S16" i="58"/>
  <c r="S44" i="52"/>
  <c r="S51" i="52" s="1"/>
  <c r="S65" i="52" s="1"/>
  <c r="S42" i="52"/>
  <c r="R42" i="52"/>
  <c r="S40" i="52"/>
  <c r="R40" i="52"/>
  <c r="R44" i="52" s="1"/>
  <c r="R51" i="52" s="1"/>
  <c r="S30" i="52"/>
  <c r="R30" i="52"/>
  <c r="S26" i="52"/>
  <c r="S53" i="52" s="1"/>
  <c r="S62" i="52" s="1"/>
  <c r="S18" i="52"/>
  <c r="R18" i="52"/>
  <c r="S17" i="52"/>
  <c r="R17" i="52"/>
  <c r="S16" i="52"/>
  <c r="R16" i="52"/>
  <c r="AC43" i="51"/>
  <c r="AC50" i="51" s="1"/>
  <c r="AC64" i="51" s="1"/>
  <c r="AC41" i="51"/>
  <c r="AB41" i="51"/>
  <c r="AC39" i="51"/>
  <c r="AB39" i="51"/>
  <c r="AB43" i="51" s="1"/>
  <c r="AB50" i="51" s="1"/>
  <c r="AC30" i="51"/>
  <c r="AB30" i="51"/>
  <c r="AC25" i="51"/>
  <c r="AC18" i="51"/>
  <c r="AB18" i="51"/>
  <c r="AC17" i="51"/>
  <c r="AB17" i="51"/>
  <c r="AC16" i="51"/>
  <c r="AB16" i="51"/>
  <c r="Y42" i="50"/>
  <c r="X42" i="50"/>
  <c r="Y40" i="50"/>
  <c r="Y44" i="50" s="1"/>
  <c r="Y51" i="50" s="1"/>
  <c r="Y65" i="50" s="1"/>
  <c r="X40" i="50"/>
  <c r="X44" i="50" s="1"/>
  <c r="X51" i="50" s="1"/>
  <c r="Y30" i="50"/>
  <c r="X30" i="50"/>
  <c r="Y26" i="50"/>
  <c r="Y18" i="50"/>
  <c r="X18" i="50"/>
  <c r="Y17" i="50"/>
  <c r="X17" i="50"/>
  <c r="R43" i="61"/>
  <c r="R50" i="61" s="1"/>
  <c r="R64" i="61" s="1"/>
  <c r="S41" i="61"/>
  <c r="R41" i="61"/>
  <c r="S39" i="61"/>
  <c r="S43" i="61" s="1"/>
  <c r="S50" i="61" s="1"/>
  <c r="R39" i="61"/>
  <c r="S30" i="61"/>
  <c r="R30" i="61"/>
  <c r="R25" i="61"/>
  <c r="S18" i="61"/>
  <c r="R18" i="61"/>
  <c r="S17" i="61"/>
  <c r="S64" i="61" s="1"/>
  <c r="R17" i="61"/>
  <c r="Q41" i="60"/>
  <c r="P41" i="60"/>
  <c r="Q39" i="60"/>
  <c r="Q43" i="60" s="1"/>
  <c r="Q50" i="60" s="1"/>
  <c r="P39" i="60"/>
  <c r="P43" i="60" s="1"/>
  <c r="P50" i="60" s="1"/>
  <c r="Q30" i="60"/>
  <c r="P30" i="60"/>
  <c r="Q18" i="60"/>
  <c r="P18" i="60"/>
  <c r="Q17" i="60"/>
  <c r="P17" i="60"/>
  <c r="U41" i="47"/>
  <c r="T41" i="47"/>
  <c r="U39" i="47"/>
  <c r="U43" i="47" s="1"/>
  <c r="U50" i="47" s="1"/>
  <c r="T39" i="47"/>
  <c r="T43" i="47" s="1"/>
  <c r="T50" i="47" s="1"/>
  <c r="U30" i="47"/>
  <c r="T30" i="47"/>
  <c r="U18" i="47"/>
  <c r="T18" i="47"/>
  <c r="U17" i="47"/>
  <c r="T17" i="47"/>
  <c r="AI42" i="46"/>
  <c r="AH42" i="46"/>
  <c r="AH17" i="46" s="1"/>
  <c r="AH26" i="46" s="1"/>
  <c r="AI40" i="46"/>
  <c r="AI44" i="46" s="1"/>
  <c r="AI51" i="46" s="1"/>
  <c r="AI65" i="46" s="1"/>
  <c r="AH40" i="46"/>
  <c r="AH44" i="46" s="1"/>
  <c r="AH51" i="46" s="1"/>
  <c r="AH65" i="46" s="1"/>
  <c r="AI30" i="46"/>
  <c r="AH30" i="46"/>
  <c r="AI18" i="46"/>
  <c r="AH18" i="46"/>
  <c r="AI17" i="46"/>
  <c r="AI26" i="46" s="1"/>
  <c r="AI16" i="46"/>
  <c r="AH16" i="46"/>
  <c r="AC41" i="32"/>
  <c r="AB41" i="32"/>
  <c r="AC39" i="32"/>
  <c r="AC43" i="32" s="1"/>
  <c r="AC50" i="32" s="1"/>
  <c r="AB39" i="32"/>
  <c r="AB43" i="32" s="1"/>
  <c r="AB50" i="32" s="1"/>
  <c r="AC30" i="32"/>
  <c r="AB30" i="32"/>
  <c r="AC18" i="32"/>
  <c r="AB18" i="32"/>
  <c r="AC17" i="32"/>
  <c r="AB17" i="32"/>
  <c r="AC16" i="32"/>
  <c r="AB16" i="32"/>
  <c r="AH53" i="46" l="1"/>
  <c r="AH62" i="46" s="1"/>
  <c r="AI53" i="46"/>
  <c r="AI62" i="46" s="1"/>
  <c r="H64" i="63"/>
  <c r="I64" i="63"/>
  <c r="H25" i="63"/>
  <c r="H52" i="63" s="1"/>
  <c r="H61" i="63" s="1"/>
  <c r="I25" i="63"/>
  <c r="I52" i="63" s="1"/>
  <c r="I61" i="63" s="1"/>
  <c r="L65" i="59"/>
  <c r="M65" i="59"/>
  <c r="L26" i="59"/>
  <c r="L53" i="59" s="1"/>
  <c r="L62" i="59" s="1"/>
  <c r="M26" i="59"/>
  <c r="M53" i="59" s="1"/>
  <c r="M62" i="59" s="1"/>
  <c r="R65" i="62"/>
  <c r="S65" i="62"/>
  <c r="S26" i="62"/>
  <c r="S53" i="62" s="1"/>
  <c r="S62" i="62" s="1"/>
  <c r="R26" i="62"/>
  <c r="R53" i="62" s="1"/>
  <c r="R62" i="62" s="1"/>
  <c r="S65" i="58"/>
  <c r="S26" i="58"/>
  <c r="S53" i="58" s="1"/>
  <c r="S62" i="58" s="1"/>
  <c r="T26" i="58"/>
  <c r="T53" i="58" s="1"/>
  <c r="T62" i="58" s="1"/>
  <c r="R65" i="52"/>
  <c r="R26" i="52"/>
  <c r="R53" i="52" s="1"/>
  <c r="R62" i="52" s="1"/>
  <c r="AC52" i="51"/>
  <c r="AC61" i="51" s="1"/>
  <c r="AB64" i="51"/>
  <c r="AB25" i="51"/>
  <c r="AB52" i="51" s="1"/>
  <c r="AB61" i="51" s="1"/>
  <c r="Y53" i="50"/>
  <c r="Y62" i="50" s="1"/>
  <c r="X65" i="50"/>
  <c r="X26" i="50"/>
  <c r="X53" i="50" s="1"/>
  <c r="X62" i="50" s="1"/>
  <c r="R52" i="61"/>
  <c r="R61" i="61" s="1"/>
  <c r="S25" i="61"/>
  <c r="S52" i="61" s="1"/>
  <c r="S61" i="61" s="1"/>
  <c r="P64" i="60"/>
  <c r="Q64" i="60"/>
  <c r="P25" i="60"/>
  <c r="P52" i="60" s="1"/>
  <c r="P61" i="60" s="1"/>
  <c r="Q25" i="60"/>
  <c r="Q52" i="60" s="1"/>
  <c r="Q61" i="60" s="1"/>
  <c r="T64" i="47"/>
  <c r="U64" i="47"/>
  <c r="T25" i="47"/>
  <c r="T52" i="47" s="1"/>
  <c r="T61" i="47" s="1"/>
  <c r="U25" i="47"/>
  <c r="U52" i="47" s="1"/>
  <c r="U61" i="47" s="1"/>
  <c r="AB64" i="32"/>
  <c r="AC64" i="32"/>
  <c r="AB25" i="32"/>
  <c r="AB52" i="32" s="1"/>
  <c r="AB61" i="32" s="1"/>
  <c r="AC25" i="32"/>
  <c r="AC52" i="32" s="1"/>
  <c r="AC61" i="32" s="1"/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AE65" i="46" l="1"/>
  <c r="H65" i="59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G41" i="63" l="1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U42" i="46"/>
  <c r="U17" i="46" s="1"/>
  <c r="T42" i="46"/>
  <c r="T17" i="46" s="1"/>
  <c r="U40" i="46"/>
  <c r="U44" i="46" s="1"/>
  <c r="U51" i="46" s="1"/>
  <c r="T40" i="46"/>
  <c r="T44" i="46" s="1"/>
  <c r="T51" i="46" s="1"/>
  <c r="U30" i="46"/>
  <c r="T30" i="46"/>
  <c r="U18" i="46"/>
  <c r="T18" i="46"/>
  <c r="U16" i="46"/>
  <c r="T16" i="46"/>
  <c r="M43" i="61" l="1"/>
  <c r="M50" i="61" s="1"/>
  <c r="M64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26" i="46" l="1"/>
  <c r="P53" i="46" s="1"/>
  <c r="P62" i="46" s="1"/>
  <c r="P65" i="46"/>
  <c r="L25" i="47"/>
  <c r="P43" i="32"/>
  <c r="P50" i="32" s="1"/>
  <c r="P64" i="32" s="1"/>
  <c r="R44" i="46"/>
  <c r="R51" i="46" s="1"/>
  <c r="R65" i="46" s="1"/>
  <c r="M52" i="47"/>
  <c r="M61" i="47" s="1"/>
  <c r="Q43" i="32"/>
  <c r="Q50" i="32" s="1"/>
  <c r="Q64" i="32" s="1"/>
  <c r="S44" i="46"/>
  <c r="S51" i="46" s="1"/>
  <c r="S65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26" i="46"/>
  <c r="S26" i="46"/>
  <c r="S53" i="46" s="1"/>
  <c r="S62" i="46" s="1"/>
  <c r="R64" i="32"/>
  <c r="Q25" i="32"/>
  <c r="R52" i="32"/>
  <c r="R61" i="32" s="1"/>
  <c r="S17" i="32"/>
  <c r="P25" i="32"/>
  <c r="P52" i="32" s="1"/>
  <c r="P61" i="32" s="1"/>
  <c r="R53" i="46" l="1"/>
  <c r="R62" i="46" s="1"/>
  <c r="Q52" i="32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O17" i="46" s="1"/>
  <c r="N42" i="46"/>
  <c r="N17" i="46" s="1"/>
  <c r="O40" i="46"/>
  <c r="N40" i="46"/>
  <c r="O30" i="46"/>
  <c r="N30" i="46"/>
  <c r="O18" i="46"/>
  <c r="N18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N44" i="46" l="1"/>
  <c r="N51" i="46" s="1"/>
  <c r="J43" i="6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M44" i="46" l="1"/>
  <c r="M51" i="46" s="1"/>
  <c r="M65" i="46" s="1"/>
  <c r="H43" i="6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L65" i="46" s="1"/>
  <c r="I44" i="58"/>
  <c r="I51" i="58" s="1"/>
  <c r="I65" i="58" s="1"/>
  <c r="C44" i="59"/>
  <c r="C51" i="59" s="1"/>
  <c r="C65" i="59" s="1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26" i="46"/>
  <c r="L26" i="46"/>
  <c r="L53" i="46" s="1"/>
  <c r="L62" i="46" s="1"/>
  <c r="L25" i="32"/>
  <c r="L52" i="32" s="1"/>
  <c r="L61" i="32" s="1"/>
  <c r="M25" i="32"/>
  <c r="M52" i="32" s="1"/>
  <c r="M61" i="32" s="1"/>
  <c r="M53" i="46" l="1"/>
  <c r="M62" i="46" s="1"/>
  <c r="I52" i="6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J17" i="46" s="1"/>
  <c r="I42" i="46"/>
  <c r="I17" i="46" s="1"/>
  <c r="H42" i="46"/>
  <c r="H17" i="46" s="1"/>
  <c r="K40" i="46"/>
  <c r="J40" i="46"/>
  <c r="I40" i="46"/>
  <c r="H40" i="46"/>
  <c r="K30" i="46"/>
  <c r="J30" i="46"/>
  <c r="I30" i="46"/>
  <c r="H30" i="46"/>
  <c r="K18" i="46"/>
  <c r="J18" i="46"/>
  <c r="I18" i="46"/>
  <c r="H18" i="46"/>
  <c r="K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E40" i="46"/>
  <c r="D40" i="46"/>
  <c r="C40" i="46"/>
  <c r="B40" i="46"/>
  <c r="G30" i="46"/>
  <c r="F30" i="46"/>
  <c r="E30" i="46"/>
  <c r="D30" i="46"/>
  <c r="C30" i="46"/>
  <c r="B30" i="46"/>
  <c r="G18" i="46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G26" i="46" l="1"/>
  <c r="H44" i="46"/>
  <c r="H51" i="46" s="1"/>
  <c r="I44" i="46"/>
  <c r="I51" i="46" s="1"/>
  <c r="F44" i="46"/>
  <c r="F51" i="46" s="1"/>
  <c r="F65" i="46" s="1"/>
  <c r="E25" i="6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J53" i="46" l="1"/>
  <c r="J62" i="46" s="1"/>
  <c r="C52" i="6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<sst xmlns="http://schemas.openxmlformats.org/spreadsheetml/2006/main" count="5619" uniqueCount="139">
  <si>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</si>
  <si>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</si>
  <si>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</si>
  <si>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</si>
  <si>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</si>
  <si>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</si>
  <si>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</si>
  <si>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</si>
  <si>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</si>
  <si>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</si>
  <si>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</si>
  <si>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</si>
  <si>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</si>
  <si>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</si>
  <si>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</si>
  <si>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</si>
  <si>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</si>
  <si>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</si>
  <si>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</si>
  <si>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</si>
  <si>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</si>
  <si>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</si>
  <si>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</si>
  <si>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</si>
  <si>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</si>
  <si>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</si>
  <si>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</si>
  <si>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</si>
  <si>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</si>
  <si>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</si>
  <si>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</si>
  <si>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</si>
  <si>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</si>
  <si>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</si>
  <si>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</si>
  <si>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</si>
  <si>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</si>
  <si>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</si>
  <si>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</si>
  <si>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</si>
  <si>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</si>
  <si>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</si>
  <si>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</si>
  <si>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</si>
  <si>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</si>
  <si>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</si>
  <si>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</si>
  <si>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</si>
  <si>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</si>
  <si>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</si>
  <si>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</si>
  <si>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</si>
  <si>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</si>
  <si>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</si>
  <si>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</si>
  <si>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</si>
  <si>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</si>
  <si>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</si>
  <si>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</si>
  <si>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</si>
  <si>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</si>
  <si>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</si>
  <si>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</si>
  <si>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</si>
  <si>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</si>
  <si>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</si>
  <si>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</si>
  <si>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</si>
  <si>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</si>
  <si>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</si>
  <si>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</si>
  <si>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</si>
  <si>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</si>
  <si>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</si>
  <si>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</si>
  <si>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</si>
  <si>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</si>
  <si>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</si>
  <si>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</si>
  <si>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</si>
  <si>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</si>
  <si>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</si>
  <si>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</si>
  <si>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</si>
  <si>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</si>
  <si>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</si>
  <si>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</si>
  <si>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</si>
  <si>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</si>
  <si>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</si>
  <si>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</si>
  <si>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</si>
  <si>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</si>
  <si>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</si>
  <si>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</si>
  <si>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</si>
  <si>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</si>
  <si>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</si>
  <si>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</si>
  <si>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</si>
  <si>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</si>
  <si>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</si>
  <si>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</si>
  <si>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</si>
  <si>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</si>
  <si>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</si>
  <si>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</si>
  <si>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</si>
  <si>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</si>
  <si>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</si>
  <si>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</si>
  <si>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</si>
  <si>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</si>
  <si>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</si>
  <si>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</si>
  <si>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</si>
  <si>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</si>
  <si>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</si>
  <si>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</si>
  <si>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</si>
  <si>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</si>
  <si>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</si>
  <si>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</si>
  <si>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</si>
  <si>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</si>
  <si>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</si>
  <si>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</si>
  <si>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</si>
  <si>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</si>
  <si>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</si>
  <si>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</si>
  <si>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</si>
  <si>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</si>
  <si>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</si>
  <si>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</si>
  <si>
    <t>Intel</t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</si>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</sst>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top" wrapText="1"/>
    </xf>
    <xf numFmtId="0" fontId="20" fillId="2" borderId="3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47" customWidth="1"/>
    <col min="2" max="4" width="15.6640625" style="2" customWidth="1"/>
    <col min="5" max="5" width="15.6640625" style="48" customWidth="1"/>
    <col min="6" max="6" width="39.6640625" style="41" customWidth="1"/>
    <col min="7" max="16384" width="9" style="1"/>
  </cols>
  <sheetData>
    <row r="1" spans="1:6">
      <c r="A1" s="49" t="s">
        <v>0</v>
      </c>
    </row>
    <row r="2" spans="1:6" ht="28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4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6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4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6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2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2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8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8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8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8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8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8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8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8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4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5"/>
  <sheetViews>
    <sheetView workbookViewId="0">
      <pane xSplit="1" ySplit="1" topLeftCell="V2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7.6640625" style="2" customWidth="1"/>
    <col min="3" max="3" width="18.5" style="1" customWidth="1"/>
    <col min="4" max="4" width="17.6640625" style="2" customWidth="1"/>
    <col min="5" max="5" width="18.5" style="1" customWidth="1"/>
    <col min="6" max="6" width="17.6640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640625" style="2" customWidth="1"/>
    <col min="11" max="11" width="18.5" style="1" customWidth="1"/>
    <col min="12" max="12" width="17.6640625" style="2" customWidth="1"/>
    <col min="13" max="13" width="18.5" style="1" customWidth="1"/>
    <col min="14" max="14" width="17.58203125" style="2" customWidth="1"/>
    <col min="15" max="15" width="18.5" style="106" customWidth="1"/>
    <col min="16" max="16" width="17.6640625" style="2" customWidth="1"/>
    <col min="17" max="17" width="18.5" style="1" customWidth="1"/>
    <col min="18" max="18" width="17.6640625" style="101" customWidth="1"/>
    <col min="19" max="19" width="18.5" style="106" customWidth="1"/>
    <col min="20" max="20" width="17.58203125" style="2" customWidth="1"/>
    <col min="21" max="21" width="18.5" style="106" customWidth="1"/>
    <col min="22" max="22" width="17.58203125" style="2" customWidth="1"/>
    <col min="23" max="23" width="18.5" style="106" customWidth="1"/>
    <col min="24" max="24" width="16.83203125" style="1" customWidth="1"/>
    <col min="25" max="25" width="16.58203125" style="1" customWidth="1"/>
    <col min="26" max="16384" width="9" style="1"/>
  </cols>
  <sheetData>
    <row r="1" spans="1:25" ht="14.25" customHeight="1">
      <c r="A1" s="3"/>
      <c r="B1" s="124" t="s">
        <v>101</v>
      </c>
      <c r="C1" s="124"/>
      <c r="D1" s="124" t="s">
        <v>102</v>
      </c>
      <c r="E1" s="124"/>
      <c r="F1" s="132" t="s">
        <v>119</v>
      </c>
      <c r="G1" s="132"/>
      <c r="H1" s="124" t="s">
        <v>125</v>
      </c>
      <c r="I1" s="124"/>
      <c r="J1" s="124" t="s">
        <v>126</v>
      </c>
      <c r="K1" s="124"/>
      <c r="L1" s="124" t="s">
        <v>127</v>
      </c>
      <c r="M1" s="124"/>
      <c r="N1" s="124" t="s">
        <v>136</v>
      </c>
      <c r="O1" s="124"/>
      <c r="P1" s="124" t="s">
        <v>130</v>
      </c>
      <c r="Q1" s="124"/>
      <c r="R1" s="133" t="s">
        <v>135</v>
      </c>
      <c r="S1" s="133"/>
      <c r="T1" s="124" t="s">
        <v>137</v>
      </c>
      <c r="U1" s="124"/>
      <c r="V1" s="124" t="s">
        <v>138</v>
      </c>
      <c r="W1" s="124"/>
      <c r="X1" s="124" t="s">
        <v>129</v>
      </c>
      <c r="Y1" s="124"/>
    </row>
    <row r="2" spans="1:25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  <c r="R2" s="113" t="s">
        <v>103</v>
      </c>
      <c r="S2" s="114" t="s">
        <v>117</v>
      </c>
      <c r="T2" s="5" t="s">
        <v>103</v>
      </c>
      <c r="U2" s="6" t="s">
        <v>117</v>
      </c>
      <c r="V2" s="5" t="s">
        <v>103</v>
      </c>
      <c r="W2" s="6" t="s">
        <v>117</v>
      </c>
      <c r="X2" s="5" t="s">
        <v>103</v>
      </c>
      <c r="Y2" s="6" t="s">
        <v>117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108">
        <v>28</v>
      </c>
      <c r="O3" s="108">
        <v>28</v>
      </c>
      <c r="P3" s="8">
        <v>28</v>
      </c>
      <c r="Q3" s="8">
        <v>28</v>
      </c>
      <c r="R3" s="108">
        <v>28</v>
      </c>
      <c r="S3" s="108">
        <v>28</v>
      </c>
      <c r="T3" s="108">
        <v>28</v>
      </c>
      <c r="U3" s="108">
        <v>28</v>
      </c>
      <c r="V3" s="108">
        <v>28</v>
      </c>
      <c r="W3" s="108">
        <v>28</v>
      </c>
      <c r="X3" s="108">
        <v>28</v>
      </c>
      <c r="Y3" s="108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108">
        <v>100</v>
      </c>
      <c r="O4" s="108">
        <v>100</v>
      </c>
      <c r="P4" s="8">
        <v>100</v>
      </c>
      <c r="Q4" s="8">
        <v>100</v>
      </c>
      <c r="R4" s="108">
        <v>100</v>
      </c>
      <c r="S4" s="108">
        <v>100</v>
      </c>
      <c r="T4" s="108">
        <v>100</v>
      </c>
      <c r="U4" s="108">
        <v>100</v>
      </c>
      <c r="V4" s="108">
        <v>100</v>
      </c>
      <c r="W4" s="108">
        <v>100</v>
      </c>
      <c r="X4" s="108">
        <v>100</v>
      </c>
      <c r="Y4" s="108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108" t="s">
        <v>16</v>
      </c>
      <c r="O6" s="108" t="s">
        <v>16</v>
      </c>
      <c r="P6" s="8" t="s">
        <v>16</v>
      </c>
      <c r="Q6" s="8" t="s">
        <v>16</v>
      </c>
      <c r="R6" s="108" t="s">
        <v>16</v>
      </c>
      <c r="S6" s="108" t="s">
        <v>16</v>
      </c>
      <c r="T6" s="108" t="s">
        <v>16</v>
      </c>
      <c r="U6" s="108" t="s">
        <v>16</v>
      </c>
      <c r="V6" s="108" t="s">
        <v>16</v>
      </c>
      <c r="W6" s="108" t="s">
        <v>16</v>
      </c>
      <c r="X6" s="108" t="s">
        <v>16</v>
      </c>
      <c r="Y6" s="108" t="s">
        <v>16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110">
        <v>0.1</v>
      </c>
      <c r="O8" s="110">
        <v>0.1</v>
      </c>
      <c r="P8" s="43">
        <v>0.1</v>
      </c>
      <c r="Q8" s="43">
        <v>0.1</v>
      </c>
      <c r="R8" s="110">
        <v>0.1</v>
      </c>
      <c r="S8" s="110">
        <v>0.1</v>
      </c>
      <c r="T8" s="110">
        <v>0.1</v>
      </c>
      <c r="U8" s="110">
        <v>0.1</v>
      </c>
      <c r="V8" s="110">
        <v>0.1</v>
      </c>
      <c r="W8" s="110">
        <v>0.1</v>
      </c>
      <c r="X8" s="110">
        <v>0.1</v>
      </c>
      <c r="Y8" s="110">
        <v>0.1</v>
      </c>
    </row>
    <row r="9" spans="1:25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107" t="s">
        <v>22</v>
      </c>
      <c r="O9" s="107" t="s">
        <v>22</v>
      </c>
      <c r="P9" s="86" t="s">
        <v>22</v>
      </c>
      <c r="Q9" s="86" t="s">
        <v>22</v>
      </c>
      <c r="R9" s="107" t="s">
        <v>22</v>
      </c>
      <c r="S9" s="107" t="s">
        <v>22</v>
      </c>
      <c r="T9" s="107" t="s">
        <v>22</v>
      </c>
      <c r="U9" s="107" t="s">
        <v>22</v>
      </c>
      <c r="V9" s="107" t="s">
        <v>22</v>
      </c>
      <c r="W9" s="107" t="s">
        <v>22</v>
      </c>
      <c r="X9" s="107" t="s">
        <v>22</v>
      </c>
      <c r="Y9" s="107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108">
        <v>3</v>
      </c>
      <c r="O10" s="108">
        <v>3</v>
      </c>
      <c r="P10" s="8">
        <v>3</v>
      </c>
      <c r="Q10" s="8">
        <v>3</v>
      </c>
      <c r="R10" s="108">
        <v>3</v>
      </c>
      <c r="S10" s="108">
        <v>3</v>
      </c>
      <c r="T10" s="108">
        <v>3</v>
      </c>
      <c r="U10" s="108">
        <v>3</v>
      </c>
      <c r="V10" s="108">
        <v>3</v>
      </c>
      <c r="W10" s="108">
        <v>3</v>
      </c>
      <c r="X10" s="108">
        <v>3</v>
      </c>
      <c r="Y10" s="108">
        <v>3</v>
      </c>
    </row>
    <row r="11" spans="1:2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09"/>
      <c r="O11" s="109"/>
      <c r="P11" s="14"/>
      <c r="Q11" s="14"/>
      <c r="R11" s="109"/>
      <c r="S11" s="109"/>
      <c r="T11" s="109"/>
      <c r="U11" s="109"/>
      <c r="V11" s="109"/>
      <c r="W11" s="109"/>
      <c r="X11" s="109"/>
      <c r="Y11" s="109"/>
    </row>
    <row r="12" spans="1:2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108">
        <v>128</v>
      </c>
      <c r="O12" s="108">
        <v>128</v>
      </c>
      <c r="P12" s="8">
        <v>128</v>
      </c>
      <c r="Q12" s="8">
        <v>128</v>
      </c>
      <c r="R12" s="108">
        <v>128</v>
      </c>
      <c r="S12" s="108">
        <v>128</v>
      </c>
      <c r="T12" s="108">
        <v>128</v>
      </c>
      <c r="U12" s="108">
        <v>128</v>
      </c>
      <c r="V12" s="108">
        <v>128</v>
      </c>
      <c r="W12" s="108">
        <v>128</v>
      </c>
      <c r="X12" s="108">
        <v>128</v>
      </c>
      <c r="Y12" s="108">
        <v>128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108">
        <v>2</v>
      </c>
      <c r="O13" s="108">
        <v>2</v>
      </c>
      <c r="P13" s="8">
        <v>2</v>
      </c>
      <c r="Q13" s="8">
        <v>2</v>
      </c>
      <c r="R13" s="108">
        <v>2</v>
      </c>
      <c r="S13" s="108">
        <v>2</v>
      </c>
      <c r="T13" s="108">
        <v>2</v>
      </c>
      <c r="U13" s="108">
        <v>2</v>
      </c>
      <c r="V13" s="108">
        <v>2</v>
      </c>
      <c r="W13" s="108">
        <v>2</v>
      </c>
      <c r="X13" s="108">
        <v>2</v>
      </c>
      <c r="Y13" s="108">
        <v>2</v>
      </c>
    </row>
    <row r="14" spans="1:2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108">
        <v>2</v>
      </c>
      <c r="O14" s="108">
        <v>2</v>
      </c>
      <c r="P14" s="8">
        <v>2</v>
      </c>
      <c r="Q14" s="8">
        <v>2</v>
      </c>
      <c r="R14" s="108">
        <v>2</v>
      </c>
      <c r="S14" s="108">
        <v>2</v>
      </c>
      <c r="T14" s="108">
        <v>2</v>
      </c>
      <c r="U14" s="108">
        <v>2</v>
      </c>
      <c r="V14" s="108">
        <v>2</v>
      </c>
      <c r="W14" s="108">
        <v>2</v>
      </c>
      <c r="X14" s="108">
        <v>2</v>
      </c>
      <c r="Y14" s="108">
        <v>2</v>
      </c>
    </row>
    <row r="15" spans="1:2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108">
        <v>3</v>
      </c>
      <c r="O15" s="108">
        <v>3</v>
      </c>
      <c r="P15" s="8">
        <v>3</v>
      </c>
      <c r="Q15" s="8">
        <v>3</v>
      </c>
      <c r="R15" s="108">
        <v>3</v>
      </c>
      <c r="S15" s="108">
        <v>3</v>
      </c>
      <c r="T15" s="108">
        <v>3</v>
      </c>
      <c r="U15" s="108">
        <v>3</v>
      </c>
      <c r="V15" s="108">
        <v>3</v>
      </c>
      <c r="W15" s="108">
        <v>3</v>
      </c>
      <c r="X15" s="108">
        <v>3</v>
      </c>
      <c r="Y15" s="108">
        <v>3</v>
      </c>
    </row>
    <row r="16" spans="1:2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O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108">
        <f t="shared" si="1"/>
        <v>23</v>
      </c>
      <c r="O16" s="108">
        <f t="shared" si="1"/>
        <v>23</v>
      </c>
      <c r="P16" s="8">
        <f t="shared" ref="P16:W16" si="2">P15+10*LOG10(P4)</f>
        <v>23</v>
      </c>
      <c r="Q16" s="8">
        <f t="shared" si="2"/>
        <v>23</v>
      </c>
      <c r="R16" s="108">
        <f t="shared" si="2"/>
        <v>23</v>
      </c>
      <c r="S16" s="108">
        <f t="shared" si="2"/>
        <v>23</v>
      </c>
      <c r="T16" s="108">
        <f t="shared" si="2"/>
        <v>23</v>
      </c>
      <c r="U16" s="108">
        <f t="shared" si="2"/>
        <v>23</v>
      </c>
      <c r="V16" s="108">
        <f t="shared" si="2"/>
        <v>23</v>
      </c>
      <c r="W16" s="108">
        <f t="shared" si="2"/>
        <v>23</v>
      </c>
      <c r="X16" s="108">
        <f>X15+10*LOG10(X4)</f>
        <v>23</v>
      </c>
      <c r="Y16" s="108">
        <f>Y15+10*LOG10(Y4)</f>
        <v>23</v>
      </c>
    </row>
    <row r="17" spans="1:25" ht="28">
      <c r="A17" s="7" t="s">
        <v>35</v>
      </c>
      <c r="B17" s="15">
        <f t="shared" ref="B17:G17" si="3">B15+10*LOG10(B42/1000000)</f>
        <v>10.60422483423212</v>
      </c>
      <c r="C17" s="15">
        <f t="shared" si="3"/>
        <v>10.60422483423212</v>
      </c>
      <c r="D17" s="15">
        <f t="shared" si="3"/>
        <v>9.3548374681491211</v>
      </c>
      <c r="E17" s="15">
        <f t="shared" si="3"/>
        <v>9.3548374681491211</v>
      </c>
      <c r="F17" s="73">
        <f t="shared" si="3"/>
        <v>9.3548374681491211</v>
      </c>
      <c r="G17" s="73">
        <f t="shared" si="3"/>
        <v>9.3548374681491211</v>
      </c>
      <c r="H17" s="15">
        <f t="shared" ref="H17:O17" si="4">H15+10*LOG10(H42/1000000)</f>
        <v>10.60422483423212</v>
      </c>
      <c r="I17" s="15">
        <f t="shared" si="4"/>
        <v>10.60422483423212</v>
      </c>
      <c r="J17" s="8">
        <f t="shared" si="4"/>
        <v>15.375437381428744</v>
      </c>
      <c r="K17" s="8">
        <f t="shared" si="4"/>
        <v>15.375437381428744</v>
      </c>
      <c r="L17" s="15">
        <f t="shared" si="4"/>
        <v>9.3548374681491211</v>
      </c>
      <c r="M17" s="15">
        <f t="shared" si="4"/>
        <v>9.3548374681491211</v>
      </c>
      <c r="N17" s="108">
        <f t="shared" si="4"/>
        <v>9.3548374681491211</v>
      </c>
      <c r="O17" s="108">
        <f t="shared" si="4"/>
        <v>9.3548374681491211</v>
      </c>
      <c r="P17" s="8">
        <f t="shared" ref="P17:W17" si="5">P15+10*LOG10(P42/1000000)</f>
        <v>10.60422483423212</v>
      </c>
      <c r="Q17" s="8">
        <f t="shared" si="5"/>
        <v>10.60422483423212</v>
      </c>
      <c r="R17" s="108">
        <f t="shared" si="5"/>
        <v>9.3548374681491211</v>
      </c>
      <c r="S17" s="108">
        <f t="shared" si="5"/>
        <v>9.3548374681491211</v>
      </c>
      <c r="T17" s="108">
        <f t="shared" si="5"/>
        <v>12.365137424788934</v>
      </c>
      <c r="U17" s="108">
        <f t="shared" si="5"/>
        <v>12.365137424788934</v>
      </c>
      <c r="V17" s="108">
        <f t="shared" si="5"/>
        <v>15.375437381428744</v>
      </c>
      <c r="W17" s="108">
        <f t="shared" si="5"/>
        <v>15.375437381428744</v>
      </c>
      <c r="X17" s="108">
        <f>X15+10*LOG10(X42/1000000)</f>
        <v>9.3548374681491211</v>
      </c>
      <c r="Y17" s="108">
        <f>Y15+10*LOG10(Y42/1000000)</f>
        <v>9.3548374681491211</v>
      </c>
    </row>
    <row r="18" spans="1:25" ht="42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O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108">
        <f t="shared" si="7"/>
        <v>17.061799739838872</v>
      </c>
      <c r="O18" s="108">
        <f t="shared" si="7"/>
        <v>17.061799739838872</v>
      </c>
      <c r="P18" s="8">
        <f t="shared" ref="P18:W18" si="8">P19+10*LOG10(P12/P13)-P20</f>
        <v>26.061799739838872</v>
      </c>
      <c r="Q18" s="8">
        <f t="shared" si="8"/>
        <v>26.061799739838872</v>
      </c>
      <c r="R18" s="108">
        <f t="shared" si="8"/>
        <v>16.261799739838871</v>
      </c>
      <c r="S18" s="108">
        <f t="shared" si="8"/>
        <v>16.261799739838871</v>
      </c>
      <c r="T18" s="108">
        <f t="shared" si="8"/>
        <v>17.061799739838872</v>
      </c>
      <c r="U18" s="108">
        <f t="shared" si="8"/>
        <v>17.061799739838872</v>
      </c>
      <c r="V18" s="108">
        <f t="shared" si="8"/>
        <v>17.061799739838872</v>
      </c>
      <c r="W18" s="108">
        <f t="shared" si="8"/>
        <v>17.061799739838872</v>
      </c>
      <c r="X18" s="108">
        <f>X19+10*LOG10(X12/X13)-X20</f>
        <v>26.061799739838872</v>
      </c>
      <c r="Y18" s="108">
        <f>Y19+10*LOG10(Y12/Y13)-Y20</f>
        <v>26.061799739838872</v>
      </c>
    </row>
    <row r="19" spans="1:2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108">
        <v>8</v>
      </c>
      <c r="O19" s="108">
        <v>8</v>
      </c>
      <c r="P19" s="8">
        <v>8</v>
      </c>
      <c r="Q19" s="8">
        <v>8</v>
      </c>
      <c r="R19" s="108">
        <v>8</v>
      </c>
      <c r="S19" s="108">
        <v>8</v>
      </c>
      <c r="T19" s="108">
        <v>8</v>
      </c>
      <c r="U19" s="108">
        <v>8</v>
      </c>
      <c r="V19" s="108">
        <v>8</v>
      </c>
      <c r="W19" s="108">
        <v>8</v>
      </c>
      <c r="X19" s="108">
        <v>8</v>
      </c>
      <c r="Y19" s="108">
        <v>8</v>
      </c>
    </row>
    <row r="20" spans="1:25" ht="42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107">
        <v>9</v>
      </c>
      <c r="O20" s="107">
        <v>9</v>
      </c>
      <c r="P20" s="86">
        <v>0</v>
      </c>
      <c r="Q20" s="86">
        <v>0</v>
      </c>
      <c r="R20" s="107">
        <v>9.8000000000000007</v>
      </c>
      <c r="S20" s="107">
        <v>9.8000000000000007</v>
      </c>
      <c r="T20" s="107">
        <v>9</v>
      </c>
      <c r="U20" s="107">
        <v>9</v>
      </c>
      <c r="V20" s="107">
        <v>9</v>
      </c>
      <c r="W20" s="107">
        <v>9</v>
      </c>
      <c r="X20" s="107">
        <v>0</v>
      </c>
      <c r="Y20" s="107">
        <v>0</v>
      </c>
    </row>
    <row r="21" spans="1:2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107">
        <v>0</v>
      </c>
      <c r="O21" s="107">
        <v>0</v>
      </c>
      <c r="P21" s="86">
        <v>0</v>
      </c>
      <c r="Q21" s="86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</row>
    <row r="22" spans="1:2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108">
        <v>0</v>
      </c>
      <c r="O22" s="108">
        <v>0</v>
      </c>
      <c r="P22" s="8">
        <v>0</v>
      </c>
      <c r="Q22" s="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</row>
    <row r="23" spans="1:2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108">
        <v>0</v>
      </c>
      <c r="O23" s="108">
        <v>0</v>
      </c>
      <c r="P23" s="8">
        <v>0</v>
      </c>
      <c r="Q23" s="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</row>
    <row r="24" spans="1:2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108">
        <v>3</v>
      </c>
      <c r="O24" s="108">
        <v>3</v>
      </c>
      <c r="P24" s="8">
        <v>3</v>
      </c>
      <c r="Q24" s="8">
        <v>3</v>
      </c>
      <c r="R24" s="108">
        <v>3</v>
      </c>
      <c r="S24" s="108">
        <v>3</v>
      </c>
      <c r="T24" s="108">
        <v>3</v>
      </c>
      <c r="U24" s="108">
        <v>3</v>
      </c>
      <c r="V24" s="108">
        <v>3</v>
      </c>
      <c r="W24" s="108">
        <v>3</v>
      </c>
      <c r="X24" s="108">
        <v>3</v>
      </c>
      <c r="Y24" s="108">
        <v>3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15">
        <f t="shared" ref="B26:G26" si="9">B17+B18+B21-B23-B24</f>
        <v>33.666024574070988</v>
      </c>
      <c r="C26" s="15">
        <f t="shared" si="9"/>
        <v>33.666024574070988</v>
      </c>
      <c r="D26" s="15">
        <f t="shared" si="9"/>
        <v>26.246637207987995</v>
      </c>
      <c r="E26" s="15">
        <f t="shared" si="9"/>
        <v>26.246637207987995</v>
      </c>
      <c r="F26" s="73">
        <f t="shared" si="9"/>
        <v>32.416637207987989</v>
      </c>
      <c r="G26" s="73">
        <f t="shared" si="9"/>
        <v>32.416637207987989</v>
      </c>
      <c r="H26" s="15">
        <f t="shared" ref="H26:O26" si="10">H17+H18+H21-H23-H24</f>
        <v>25.186024574070991</v>
      </c>
      <c r="I26" s="15">
        <f t="shared" si="10"/>
        <v>25.186024574070991</v>
      </c>
      <c r="J26" s="8">
        <f t="shared" si="10"/>
        <v>38.437237121267614</v>
      </c>
      <c r="K26" s="8">
        <f t="shared" si="10"/>
        <v>38.437237121267614</v>
      </c>
      <c r="L26" s="15">
        <f t="shared" si="10"/>
        <v>32.416637207987989</v>
      </c>
      <c r="M26" s="15">
        <f t="shared" si="10"/>
        <v>32.416637207987989</v>
      </c>
      <c r="N26" s="108">
        <f t="shared" si="10"/>
        <v>23.416637207987993</v>
      </c>
      <c r="O26" s="108">
        <f t="shared" si="10"/>
        <v>23.416637207987993</v>
      </c>
      <c r="P26" s="8">
        <f t="shared" ref="P26:W26" si="11">P17+P18+P21-P23-P24</f>
        <v>33.666024574070988</v>
      </c>
      <c r="Q26" s="8">
        <f t="shared" si="11"/>
        <v>33.666024574070988</v>
      </c>
      <c r="R26" s="108">
        <f t="shared" si="11"/>
        <v>22.616637207987992</v>
      </c>
      <c r="S26" s="108">
        <f t="shared" si="11"/>
        <v>22.616637207987992</v>
      </c>
      <c r="T26" s="108">
        <f t="shared" si="11"/>
        <v>26.426937164627805</v>
      </c>
      <c r="U26" s="108">
        <f t="shared" si="11"/>
        <v>26.426937164627805</v>
      </c>
      <c r="V26" s="108">
        <f t="shared" si="11"/>
        <v>29.437237121267614</v>
      </c>
      <c r="W26" s="108">
        <f t="shared" si="11"/>
        <v>29.437237121267614</v>
      </c>
      <c r="X26" s="108">
        <f>X17+X18+X21-X23-X24</f>
        <v>32.416637207987989</v>
      </c>
      <c r="Y26" s="108">
        <f>Y17+Y18+Y21-Y23-Y24</f>
        <v>32.416637207987989</v>
      </c>
    </row>
    <row r="27" spans="1:2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09"/>
      <c r="O27" s="109"/>
      <c r="P27" s="14"/>
      <c r="Q27" s="14"/>
      <c r="R27" s="109"/>
      <c r="S27" s="109"/>
      <c r="T27" s="109"/>
      <c r="U27" s="109"/>
      <c r="V27" s="109"/>
      <c r="W27" s="109"/>
      <c r="X27" s="109"/>
      <c r="Y27" s="109"/>
    </row>
    <row r="28" spans="1:2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108">
        <v>8</v>
      </c>
      <c r="O28" s="108">
        <v>4</v>
      </c>
      <c r="P28" s="8">
        <v>8</v>
      </c>
      <c r="Q28" s="8">
        <v>4</v>
      </c>
      <c r="R28" s="108">
        <v>8</v>
      </c>
      <c r="S28" s="108">
        <v>4</v>
      </c>
      <c r="T28" s="108">
        <v>8</v>
      </c>
      <c r="U28" s="108">
        <v>4</v>
      </c>
      <c r="V28" s="108">
        <v>8</v>
      </c>
      <c r="W28" s="108">
        <v>4</v>
      </c>
      <c r="X28" s="108">
        <v>8</v>
      </c>
      <c r="Y28" s="108">
        <v>4</v>
      </c>
    </row>
    <row r="29" spans="1:2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108">
        <v>2</v>
      </c>
      <c r="O29" s="108">
        <v>1</v>
      </c>
      <c r="P29" s="8">
        <v>2</v>
      </c>
      <c r="Q29" s="8">
        <v>1</v>
      </c>
      <c r="R29" s="108">
        <v>2</v>
      </c>
      <c r="S29" s="108">
        <v>1</v>
      </c>
      <c r="T29" s="108">
        <v>2</v>
      </c>
      <c r="U29" s="108">
        <v>1</v>
      </c>
      <c r="V29" s="108">
        <v>2</v>
      </c>
      <c r="W29" s="108">
        <v>1</v>
      </c>
      <c r="X29" s="108">
        <v>2</v>
      </c>
      <c r="Y29" s="108">
        <v>1</v>
      </c>
    </row>
    <row r="30" spans="1:25" ht="42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O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108">
        <f t="shared" si="13"/>
        <v>5.0205999132796251</v>
      </c>
      <c r="O30" s="108">
        <f t="shared" si="13"/>
        <v>5.0205999132796251</v>
      </c>
      <c r="P30" s="8">
        <f t="shared" ref="P30:W30" si="14">P31+10*LOG10(P28/P29)-P32</f>
        <v>11.020599913279625</v>
      </c>
      <c r="Q30" s="8">
        <f t="shared" si="14"/>
        <v>11.020599913279625</v>
      </c>
      <c r="R30" s="108">
        <f t="shared" si="14"/>
        <v>11.020599913279625</v>
      </c>
      <c r="S30" s="108">
        <f t="shared" si="14"/>
        <v>11.020599913279625</v>
      </c>
      <c r="T30" s="108">
        <f t="shared" si="14"/>
        <v>5.0205999132796251</v>
      </c>
      <c r="U30" s="108">
        <f t="shared" si="14"/>
        <v>5.0205999132796251</v>
      </c>
      <c r="V30" s="108">
        <f t="shared" si="14"/>
        <v>5.0205999132796251</v>
      </c>
      <c r="W30" s="108">
        <f t="shared" si="14"/>
        <v>5.0205999132796251</v>
      </c>
      <c r="X30" s="108">
        <f>X31+10*LOG10(X28/X29)-X32</f>
        <v>11.020599913279625</v>
      </c>
      <c r="Y30" s="108">
        <f>Y31+10*LOG10(Y28/Y29)-Y32</f>
        <v>11.020599913279625</v>
      </c>
    </row>
    <row r="31" spans="1:2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108">
        <v>5</v>
      </c>
      <c r="O31" s="108">
        <v>5</v>
      </c>
      <c r="P31" s="8">
        <v>5</v>
      </c>
      <c r="Q31" s="8">
        <v>5</v>
      </c>
      <c r="R31" s="108">
        <v>5</v>
      </c>
      <c r="S31" s="108">
        <v>5</v>
      </c>
      <c r="T31" s="108">
        <v>5</v>
      </c>
      <c r="U31" s="108">
        <v>5</v>
      </c>
      <c r="V31" s="108">
        <v>5</v>
      </c>
      <c r="W31" s="108">
        <v>5</v>
      </c>
      <c r="X31" s="108">
        <v>5</v>
      </c>
      <c r="Y31" s="108">
        <v>5</v>
      </c>
    </row>
    <row r="32" spans="1:2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107">
        <v>6</v>
      </c>
      <c r="O32" s="107">
        <v>6</v>
      </c>
      <c r="P32" s="86">
        <v>0</v>
      </c>
      <c r="Q32" s="86">
        <v>0</v>
      </c>
      <c r="R32" s="107">
        <v>0</v>
      </c>
      <c r="S32" s="107">
        <v>0</v>
      </c>
      <c r="T32" s="107">
        <v>6</v>
      </c>
      <c r="U32" s="107">
        <v>6</v>
      </c>
      <c r="V32" s="107">
        <v>6</v>
      </c>
      <c r="W32" s="107">
        <v>6</v>
      </c>
      <c r="X32" s="107">
        <v>0</v>
      </c>
      <c r="Y32" s="107">
        <v>0</v>
      </c>
    </row>
    <row r="33" spans="1:2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108">
        <v>0</v>
      </c>
      <c r="O33" s="108">
        <v>0</v>
      </c>
      <c r="P33" s="8">
        <v>0</v>
      </c>
      <c r="Q33" s="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</row>
    <row r="34" spans="1:2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108">
        <v>1</v>
      </c>
      <c r="O34" s="108">
        <v>1</v>
      </c>
      <c r="P34" s="8">
        <v>1</v>
      </c>
      <c r="Q34" s="8">
        <v>1</v>
      </c>
      <c r="R34" s="108">
        <v>1</v>
      </c>
      <c r="S34" s="108">
        <v>1</v>
      </c>
      <c r="T34" s="108">
        <v>1</v>
      </c>
      <c r="U34" s="108">
        <v>1</v>
      </c>
      <c r="V34" s="108">
        <v>1</v>
      </c>
      <c r="W34" s="108">
        <v>1</v>
      </c>
      <c r="X34" s="108">
        <v>1</v>
      </c>
      <c r="Y34" s="108">
        <v>1</v>
      </c>
    </row>
    <row r="35" spans="1:2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108">
        <v>7</v>
      </c>
      <c r="O35" s="108">
        <v>7</v>
      </c>
      <c r="P35" s="8">
        <v>7</v>
      </c>
      <c r="Q35" s="8">
        <v>7</v>
      </c>
      <c r="R35" s="108">
        <v>7</v>
      </c>
      <c r="S35" s="108">
        <v>7</v>
      </c>
      <c r="T35" s="108">
        <v>7</v>
      </c>
      <c r="U35" s="108">
        <v>7</v>
      </c>
      <c r="V35" s="108">
        <v>7</v>
      </c>
      <c r="W35" s="108">
        <v>7</v>
      </c>
      <c r="X35" s="108">
        <v>7</v>
      </c>
      <c r="Y35" s="108">
        <v>7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108">
        <v>-174</v>
      </c>
      <c r="O36" s="108">
        <v>-174</v>
      </c>
      <c r="P36" s="8">
        <v>-174</v>
      </c>
      <c r="Q36" s="8">
        <v>-174</v>
      </c>
      <c r="R36" s="108">
        <v>-174</v>
      </c>
      <c r="S36" s="108">
        <v>-174</v>
      </c>
      <c r="T36" s="108">
        <v>-174</v>
      </c>
      <c r="U36" s="108">
        <v>-174</v>
      </c>
      <c r="V36" s="108">
        <v>-174</v>
      </c>
      <c r="W36" s="108">
        <v>-174</v>
      </c>
      <c r="X36" s="108">
        <v>-174</v>
      </c>
      <c r="Y36" s="108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108" t="s">
        <v>16</v>
      </c>
      <c r="O37" s="108" t="s">
        <v>16</v>
      </c>
      <c r="P37" s="8" t="s">
        <v>16</v>
      </c>
      <c r="Q37" s="8" t="s">
        <v>16</v>
      </c>
      <c r="R37" s="108" t="s">
        <v>16</v>
      </c>
      <c r="S37" s="108" t="s">
        <v>16</v>
      </c>
      <c r="T37" s="108" t="s">
        <v>16</v>
      </c>
      <c r="U37" s="108" t="s">
        <v>16</v>
      </c>
      <c r="V37" s="108" t="s">
        <v>16</v>
      </c>
      <c r="W37" s="108" t="s">
        <v>16</v>
      </c>
      <c r="X37" s="108" t="s">
        <v>16</v>
      </c>
      <c r="Y37" s="108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107">
        <v>-999</v>
      </c>
      <c r="O38" s="107">
        <v>-999</v>
      </c>
      <c r="P38" s="86">
        <v>-999</v>
      </c>
      <c r="Q38" s="86">
        <v>-999</v>
      </c>
      <c r="R38" s="107">
        <v>-999</v>
      </c>
      <c r="S38" s="107">
        <v>-999</v>
      </c>
      <c r="T38" s="107">
        <v>-999</v>
      </c>
      <c r="U38" s="107">
        <v>-999</v>
      </c>
      <c r="V38" s="107">
        <v>-999</v>
      </c>
      <c r="W38" s="107">
        <v>-999</v>
      </c>
      <c r="X38" s="107">
        <v>-999</v>
      </c>
      <c r="Y38" s="107">
        <v>-999</v>
      </c>
    </row>
    <row r="39" spans="1:25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8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O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108">
        <f t="shared" si="16"/>
        <v>-167.00000000000003</v>
      </c>
      <c r="O40" s="108">
        <f t="shared" si="16"/>
        <v>-167.00000000000003</v>
      </c>
      <c r="P40" s="8">
        <f t="shared" ref="P40:W40" si="17">10*LOG10(10^((P35+P36)/10)+10^(P38/10))</f>
        <v>-167.00000000000003</v>
      </c>
      <c r="Q40" s="8">
        <f t="shared" si="17"/>
        <v>-167.00000000000003</v>
      </c>
      <c r="R40" s="108">
        <f t="shared" si="17"/>
        <v>-167.00000000000003</v>
      </c>
      <c r="S40" s="108">
        <f t="shared" si="17"/>
        <v>-167.00000000000003</v>
      </c>
      <c r="T40" s="108">
        <f t="shared" si="17"/>
        <v>-167.00000000000003</v>
      </c>
      <c r="U40" s="108">
        <f t="shared" si="17"/>
        <v>-167.00000000000003</v>
      </c>
      <c r="V40" s="108">
        <f t="shared" si="17"/>
        <v>-167.00000000000003</v>
      </c>
      <c r="W40" s="108">
        <f t="shared" si="17"/>
        <v>-167.00000000000003</v>
      </c>
      <c r="X40" s="108">
        <f>10*LOG10(10^((X35+X36)/10)+10^(X38/10))</f>
        <v>-167.00000000000003</v>
      </c>
      <c r="Y40" s="108">
        <f>10*LOG10(10^((Y35+Y36)/10)+10^(Y38/10))</f>
        <v>-167.00000000000003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108" t="s">
        <v>16</v>
      </c>
      <c r="O41" s="108" t="s">
        <v>16</v>
      </c>
      <c r="P41" s="8" t="s">
        <v>16</v>
      </c>
      <c r="Q41" s="8" t="s">
        <v>16</v>
      </c>
      <c r="R41" s="108" t="s">
        <v>16</v>
      </c>
      <c r="S41" s="108" t="s">
        <v>16</v>
      </c>
      <c r="T41" s="108" t="s">
        <v>16</v>
      </c>
      <c r="U41" s="108" t="s">
        <v>16</v>
      </c>
      <c r="V41" s="108" t="s">
        <v>16</v>
      </c>
      <c r="W41" s="108" t="s">
        <v>16</v>
      </c>
      <c r="X41" s="108" t="s">
        <v>16</v>
      </c>
      <c r="Y41" s="108" t="s">
        <v>16</v>
      </c>
    </row>
    <row r="42" spans="1:2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8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9">3*12*120*1000</f>
        <v>4320000</v>
      </c>
      <c r="N42" s="111">
        <f>3*12*120*1000</f>
        <v>4320000</v>
      </c>
      <c r="O42" s="111">
        <f t="shared" ref="O42" si="20">3*12*120*1000</f>
        <v>4320000</v>
      </c>
      <c r="P42" s="88">
        <f>4*12*120*1000</f>
        <v>5760000</v>
      </c>
      <c r="Q42" s="88">
        <f>4*12*120*1000</f>
        <v>5760000</v>
      </c>
      <c r="R42" s="111">
        <f>3*12*120*1000</f>
        <v>4320000</v>
      </c>
      <c r="S42" s="111">
        <f t="shared" ref="S42" si="21">3*12*120*1000</f>
        <v>4320000</v>
      </c>
      <c r="T42" s="111">
        <f>6*12*120*1000</f>
        <v>8640000</v>
      </c>
      <c r="U42" s="111">
        <f>6*12*120*1000</f>
        <v>8640000</v>
      </c>
      <c r="V42" s="111">
        <f>12*12*120*1000</f>
        <v>17280000</v>
      </c>
      <c r="W42" s="111">
        <f>12*12*120*1000</f>
        <v>17280000</v>
      </c>
      <c r="X42" s="111">
        <f>3*12*120*1000</f>
        <v>4320000</v>
      </c>
      <c r="Y42" s="111">
        <f t="shared" ref="Y42" si="22">3*12*120*1000</f>
        <v>4320000</v>
      </c>
    </row>
    <row r="43" spans="1:2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108" t="s">
        <v>16</v>
      </c>
      <c r="O43" s="108" t="s">
        <v>16</v>
      </c>
      <c r="P43" s="8" t="s">
        <v>16</v>
      </c>
      <c r="Q43" s="8" t="s">
        <v>16</v>
      </c>
      <c r="R43" s="108" t="s">
        <v>16</v>
      </c>
      <c r="S43" s="108" t="s">
        <v>16</v>
      </c>
      <c r="T43" s="108" t="s">
        <v>16</v>
      </c>
      <c r="U43" s="108" t="s">
        <v>16</v>
      </c>
      <c r="V43" s="108" t="s">
        <v>16</v>
      </c>
      <c r="W43" s="108" t="s">
        <v>16</v>
      </c>
      <c r="X43" s="108" t="s">
        <v>16</v>
      </c>
      <c r="Y43" s="108" t="s">
        <v>16</v>
      </c>
    </row>
    <row r="44" spans="1:25">
      <c r="A44" s="7" t="s">
        <v>72</v>
      </c>
      <c r="B44" s="15">
        <f t="shared" ref="B44:G44" si="23">B40+10*LOG10(B42)</f>
        <v>-99.395775165767915</v>
      </c>
      <c r="C44" s="15">
        <f t="shared" si="23"/>
        <v>-99.395775165767915</v>
      </c>
      <c r="D44" s="15">
        <f t="shared" si="23"/>
        <v>-97.645162531850886</v>
      </c>
      <c r="E44" s="15">
        <f t="shared" si="23"/>
        <v>-97.645162531850886</v>
      </c>
      <c r="F44" s="73">
        <f t="shared" si="23"/>
        <v>-100.64516253185091</v>
      </c>
      <c r="G44" s="73">
        <f t="shared" si="23"/>
        <v>-100.64516253185091</v>
      </c>
      <c r="H44" s="15">
        <f t="shared" ref="H44:O44" si="24">H40+10*LOG10(H42)</f>
        <v>-95.981848314185626</v>
      </c>
      <c r="I44" s="15">
        <f t="shared" si="24"/>
        <v>-95.981848314185626</v>
      </c>
      <c r="J44" s="8">
        <f t="shared" si="24"/>
        <v>-93.834465122045614</v>
      </c>
      <c r="K44" s="8">
        <f t="shared" si="24"/>
        <v>-93.834465122045614</v>
      </c>
      <c r="L44" s="15">
        <f t="shared" si="24"/>
        <v>-100.64516253185091</v>
      </c>
      <c r="M44" s="15">
        <f t="shared" si="24"/>
        <v>-100.64516253185091</v>
      </c>
      <c r="N44" s="108">
        <f t="shared" si="24"/>
        <v>-100.64516253185091</v>
      </c>
      <c r="O44" s="108">
        <f t="shared" si="24"/>
        <v>-100.64516253185091</v>
      </c>
      <c r="P44" s="8">
        <f t="shared" ref="P44:W44" si="25">P40+10*LOG10(P42)</f>
        <v>-99.395775165767915</v>
      </c>
      <c r="Q44" s="8">
        <f t="shared" si="25"/>
        <v>-99.395775165767915</v>
      </c>
      <c r="R44" s="108">
        <f t="shared" si="25"/>
        <v>-100.64516253185091</v>
      </c>
      <c r="S44" s="108">
        <f t="shared" si="25"/>
        <v>-100.64516253185091</v>
      </c>
      <c r="T44" s="108">
        <f t="shared" si="25"/>
        <v>-97.634862575211102</v>
      </c>
      <c r="U44" s="108">
        <f t="shared" si="25"/>
        <v>-97.634862575211102</v>
      </c>
      <c r="V44" s="108">
        <f t="shared" si="25"/>
        <v>-94.624562618571289</v>
      </c>
      <c r="W44" s="108">
        <f t="shared" si="25"/>
        <v>-94.624562618571289</v>
      </c>
      <c r="X44" s="108">
        <f>X40+10*LOG10(X42)</f>
        <v>-100.64516253185091</v>
      </c>
      <c r="Y44" s="108">
        <f>Y40+10*LOG10(Y42)</f>
        <v>-100.64516253185091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108" t="s">
        <v>16</v>
      </c>
      <c r="O45" s="108" t="s">
        <v>16</v>
      </c>
      <c r="P45" s="8" t="s">
        <v>16</v>
      </c>
      <c r="Q45" s="8" t="s">
        <v>16</v>
      </c>
      <c r="R45" s="108" t="s">
        <v>16</v>
      </c>
      <c r="S45" s="108" t="s">
        <v>16</v>
      </c>
      <c r="T45" s="108" t="s">
        <v>16</v>
      </c>
      <c r="U45" s="108" t="s">
        <v>16</v>
      </c>
      <c r="V45" s="108" t="s">
        <v>16</v>
      </c>
      <c r="W45" s="108" t="s">
        <v>16</v>
      </c>
      <c r="X45" s="108" t="s">
        <v>16</v>
      </c>
      <c r="Y45" s="108" t="s">
        <v>16</v>
      </c>
    </row>
    <row r="46" spans="1:2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111">
        <v>-3.1</v>
      </c>
      <c r="O46" s="111">
        <v>1.3</v>
      </c>
      <c r="P46" s="88">
        <v>-2.83</v>
      </c>
      <c r="Q46" s="88">
        <v>2.61</v>
      </c>
      <c r="R46" s="111">
        <v>-9.1999999999999993</v>
      </c>
      <c r="S46" s="111">
        <v>-5.8</v>
      </c>
      <c r="T46" s="111">
        <v>-6.3</v>
      </c>
      <c r="U46" s="111">
        <v>-2.4</v>
      </c>
      <c r="V46" s="111">
        <v>-9.4</v>
      </c>
      <c r="W46" s="111">
        <v>-6</v>
      </c>
      <c r="X46" s="111">
        <v>-2.2400000000000002</v>
      </c>
      <c r="Y46" s="111">
        <v>3.07</v>
      </c>
    </row>
    <row r="47" spans="1:2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108">
        <v>2</v>
      </c>
      <c r="O47" s="108">
        <v>2</v>
      </c>
      <c r="P47" s="8">
        <v>2</v>
      </c>
      <c r="Q47" s="8">
        <v>2</v>
      </c>
      <c r="R47" s="108">
        <v>2</v>
      </c>
      <c r="S47" s="108">
        <v>2</v>
      </c>
      <c r="T47" s="108">
        <v>2</v>
      </c>
      <c r="U47" s="108">
        <v>2</v>
      </c>
      <c r="V47" s="108">
        <v>2</v>
      </c>
      <c r="W47" s="108">
        <v>2</v>
      </c>
      <c r="X47" s="108">
        <v>2</v>
      </c>
      <c r="Y47" s="108">
        <v>2</v>
      </c>
    </row>
    <row r="48" spans="1:25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108" t="s">
        <v>16</v>
      </c>
      <c r="O48" s="108" t="s">
        <v>16</v>
      </c>
      <c r="P48" s="8" t="s">
        <v>16</v>
      </c>
      <c r="Q48" s="8" t="s">
        <v>16</v>
      </c>
      <c r="R48" s="108" t="s">
        <v>16</v>
      </c>
      <c r="S48" s="108" t="s">
        <v>16</v>
      </c>
      <c r="T48" s="108" t="s">
        <v>16</v>
      </c>
      <c r="U48" s="108" t="s">
        <v>16</v>
      </c>
      <c r="V48" s="108" t="s">
        <v>16</v>
      </c>
      <c r="W48" s="108" t="s">
        <v>16</v>
      </c>
      <c r="X48" s="108" t="s">
        <v>16</v>
      </c>
      <c r="Y48" s="10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08">
        <v>0</v>
      </c>
      <c r="O49" s="108">
        <v>0</v>
      </c>
      <c r="P49" s="8">
        <v>0</v>
      </c>
      <c r="Q49" s="8">
        <v>0</v>
      </c>
      <c r="R49" s="108">
        <v>0</v>
      </c>
      <c r="S49" s="108">
        <v>0</v>
      </c>
      <c r="T49" s="108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</row>
    <row r="50" spans="1:2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8">
      <c r="A51" s="7" t="s">
        <v>82</v>
      </c>
      <c r="B51" s="15">
        <f t="shared" ref="B51:G51" si="26">B44+B46+B47-B49</f>
        <v>-101.39577516576792</v>
      </c>
      <c r="C51" s="15">
        <f t="shared" si="26"/>
        <v>-95.795775165767921</v>
      </c>
      <c r="D51" s="15">
        <f t="shared" si="26"/>
        <v>-102.70516253185089</v>
      </c>
      <c r="E51" s="15">
        <f t="shared" si="26"/>
        <v>-97.87516253185089</v>
      </c>
      <c r="F51" s="73">
        <f t="shared" si="26"/>
        <v>-102.18516253185092</v>
      </c>
      <c r="G51" s="73">
        <f t="shared" si="26"/>
        <v>-97.705162531850917</v>
      </c>
      <c r="H51" s="15">
        <f t="shared" ref="H51:O51" si="27">H44+H46+H47-H49</f>
        <v>-98.472848314185626</v>
      </c>
      <c r="I51" s="15">
        <f t="shared" si="27"/>
        <v>-92.129848314185622</v>
      </c>
      <c r="J51" s="8">
        <f t="shared" si="27"/>
        <v>-96.46446512204561</v>
      </c>
      <c r="K51" s="8">
        <f t="shared" si="27"/>
        <v>-94.034465122045617</v>
      </c>
      <c r="L51" s="15">
        <f t="shared" si="27"/>
        <v>-100.86516253185091</v>
      </c>
      <c r="M51" s="15">
        <f t="shared" si="27"/>
        <v>-94.675162531850916</v>
      </c>
      <c r="N51" s="108">
        <f t="shared" si="27"/>
        <v>-101.74516253185091</v>
      </c>
      <c r="O51" s="108">
        <f t="shared" si="27"/>
        <v>-97.345162531850917</v>
      </c>
      <c r="P51" s="8">
        <f t="shared" ref="P51:W51" si="28">P44+P46+P47-P49</f>
        <v>-100.22577516576791</v>
      </c>
      <c r="Q51" s="8">
        <f t="shared" si="28"/>
        <v>-94.785775165767916</v>
      </c>
      <c r="R51" s="108">
        <f t="shared" si="28"/>
        <v>-107.84516253185092</v>
      </c>
      <c r="S51" s="108">
        <f t="shared" si="28"/>
        <v>-104.44516253185091</v>
      </c>
      <c r="T51" s="108">
        <f t="shared" si="28"/>
        <v>-101.9348625752111</v>
      </c>
      <c r="U51" s="108">
        <f t="shared" si="28"/>
        <v>-98.034862575211108</v>
      </c>
      <c r="V51" s="108">
        <f t="shared" si="28"/>
        <v>-102.0245626185713</v>
      </c>
      <c r="W51" s="108">
        <f t="shared" si="28"/>
        <v>-98.624562618571289</v>
      </c>
      <c r="X51" s="108">
        <f>X44+X46+X47-X49</f>
        <v>-100.88516253185091</v>
      </c>
      <c r="Y51" s="108">
        <f>Y44+Y46+Y47-Y49</f>
        <v>-95.575162531850921</v>
      </c>
    </row>
    <row r="52" spans="1:2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15" t="s">
        <v>16</v>
      </c>
      <c r="O52" s="115" t="s">
        <v>16</v>
      </c>
      <c r="P52" s="100" t="s">
        <v>16</v>
      </c>
      <c r="Q52" s="100" t="s">
        <v>16</v>
      </c>
      <c r="R52" s="115" t="s">
        <v>16</v>
      </c>
      <c r="S52" s="115" t="s">
        <v>16</v>
      </c>
      <c r="T52" s="115" t="s">
        <v>16</v>
      </c>
      <c r="U52" s="115" t="s">
        <v>16</v>
      </c>
      <c r="V52" s="115" t="s">
        <v>16</v>
      </c>
      <c r="W52" s="115" t="s">
        <v>16</v>
      </c>
      <c r="X52" s="115" t="s">
        <v>16</v>
      </c>
      <c r="Y52" s="115" t="s">
        <v>16</v>
      </c>
    </row>
    <row r="53" spans="1:25" ht="28">
      <c r="A53" s="26" t="s">
        <v>85</v>
      </c>
      <c r="B53" s="39">
        <f t="shared" ref="B53:G53" si="29">B26+B30+B33-B34-B51</f>
        <v>145.08239965311853</v>
      </c>
      <c r="C53" s="39">
        <f t="shared" si="29"/>
        <v>139.48239965311853</v>
      </c>
      <c r="D53" s="39">
        <f t="shared" si="29"/>
        <v>138.97239965311852</v>
      </c>
      <c r="E53" s="39">
        <f t="shared" si="29"/>
        <v>134.1423996531185</v>
      </c>
      <c r="F53" s="76">
        <f t="shared" si="29"/>
        <v>144.62239965311852</v>
      </c>
      <c r="G53" s="76">
        <f t="shared" si="29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Y53" si="30">J26+J30+J33-J34-J51</f>
        <v>144.92230215659285</v>
      </c>
      <c r="K53" s="39">
        <f t="shared" si="30"/>
        <v>142.49230215659287</v>
      </c>
      <c r="L53" s="39">
        <f t="shared" si="30"/>
        <v>143.30239965311853</v>
      </c>
      <c r="M53" s="39">
        <f t="shared" si="30"/>
        <v>137.11239965311853</v>
      </c>
      <c r="N53" s="112">
        <f t="shared" si="30"/>
        <v>129.18239965311852</v>
      </c>
      <c r="O53" s="112">
        <f t="shared" si="30"/>
        <v>124.78239965311853</v>
      </c>
      <c r="P53" s="39">
        <f t="shared" si="30"/>
        <v>143.91239965311854</v>
      </c>
      <c r="Q53" s="39">
        <f t="shared" si="30"/>
        <v>138.47239965311854</v>
      </c>
      <c r="R53" s="112">
        <f t="shared" si="30"/>
        <v>140.48239965311853</v>
      </c>
      <c r="S53" s="112">
        <f t="shared" si="30"/>
        <v>137.08239965311853</v>
      </c>
      <c r="T53" s="112">
        <f t="shared" si="30"/>
        <v>132.38239965311854</v>
      </c>
      <c r="U53" s="112">
        <f t="shared" si="30"/>
        <v>128.48239965311853</v>
      </c>
      <c r="V53" s="112">
        <f t="shared" si="30"/>
        <v>135.48239965311853</v>
      </c>
      <c r="W53" s="112">
        <f t="shared" si="30"/>
        <v>132.08239965311853</v>
      </c>
      <c r="X53" s="112">
        <f t="shared" si="30"/>
        <v>143.32239965311851</v>
      </c>
      <c r="Y53" s="112">
        <f t="shared" si="30"/>
        <v>138.01239965311854</v>
      </c>
    </row>
    <row r="54" spans="1:2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09"/>
      <c r="O54" s="109"/>
      <c r="P54" s="14"/>
      <c r="Q54" s="14"/>
      <c r="R54" s="109"/>
      <c r="S54" s="109"/>
      <c r="T54" s="109"/>
      <c r="U54" s="109"/>
      <c r="V54" s="109"/>
      <c r="W54" s="109"/>
      <c r="X54" s="109"/>
      <c r="Y54" s="109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107">
        <v>0</v>
      </c>
      <c r="O55" s="107">
        <v>0</v>
      </c>
      <c r="P55" s="86">
        <v>0</v>
      </c>
      <c r="Q55" s="86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</row>
    <row r="56" spans="1:2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107">
        <v>0</v>
      </c>
      <c r="O57" s="107">
        <v>0</v>
      </c>
      <c r="P57" s="86">
        <v>0</v>
      </c>
      <c r="Q57" s="86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107">
        <v>0</v>
      </c>
      <c r="O58" s="107">
        <v>0</v>
      </c>
      <c r="P58" s="86">
        <v>0</v>
      </c>
      <c r="Q58" s="86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107">
        <v>0</v>
      </c>
      <c r="O59" s="107">
        <v>0</v>
      </c>
      <c r="P59" s="86">
        <v>0</v>
      </c>
      <c r="Q59" s="86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107">
        <v>0</v>
      </c>
      <c r="O60" s="107">
        <v>0</v>
      </c>
      <c r="P60" s="86">
        <v>0</v>
      </c>
      <c r="Q60" s="86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</row>
    <row r="61" spans="1:2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15" t="s">
        <v>16</v>
      </c>
      <c r="O61" s="115" t="s">
        <v>16</v>
      </c>
      <c r="P61" s="100" t="s">
        <v>16</v>
      </c>
      <c r="Q61" s="100" t="s">
        <v>16</v>
      </c>
      <c r="R61" s="115" t="s">
        <v>16</v>
      </c>
      <c r="S61" s="115" t="s">
        <v>16</v>
      </c>
      <c r="T61" s="115" t="s">
        <v>16</v>
      </c>
      <c r="U61" s="115" t="s">
        <v>16</v>
      </c>
      <c r="V61" s="115" t="s">
        <v>16</v>
      </c>
      <c r="W61" s="115" t="s">
        <v>16</v>
      </c>
      <c r="X61" s="115" t="s">
        <v>16</v>
      </c>
      <c r="Y61" s="115" t="s">
        <v>16</v>
      </c>
    </row>
    <row r="62" spans="1:25" ht="28">
      <c r="A62" s="26" t="s">
        <v>111</v>
      </c>
      <c r="B62" s="39">
        <f t="shared" ref="B62:G62" si="31">B53-B57+B58-B59+B60</f>
        <v>145.08239965311853</v>
      </c>
      <c r="C62" s="39">
        <f t="shared" si="31"/>
        <v>139.48239965311853</v>
      </c>
      <c r="D62" s="39">
        <f t="shared" si="31"/>
        <v>138.97239965311852</v>
      </c>
      <c r="E62" s="39">
        <f t="shared" si="31"/>
        <v>134.1423996531185</v>
      </c>
      <c r="F62" s="76">
        <f t="shared" si="31"/>
        <v>144.62239965311852</v>
      </c>
      <c r="G62" s="76">
        <f t="shared" si="31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Y62" si="32">J53-J57+J58-J59+J60</f>
        <v>139.74230215659284</v>
      </c>
      <c r="K62" s="39">
        <f t="shared" si="32"/>
        <v>137.31230215659286</v>
      </c>
      <c r="L62" s="39">
        <f t="shared" si="32"/>
        <v>143.30239965311853</v>
      </c>
      <c r="M62" s="39">
        <f t="shared" si="32"/>
        <v>137.11239965311853</v>
      </c>
      <c r="N62" s="112">
        <f t="shared" si="32"/>
        <v>129.18239965311852</v>
      </c>
      <c r="O62" s="112">
        <f t="shared" si="32"/>
        <v>124.78239965311853</v>
      </c>
      <c r="P62" s="39">
        <f t="shared" si="32"/>
        <v>143.91239965311854</v>
      </c>
      <c r="Q62" s="39">
        <f t="shared" si="32"/>
        <v>138.47239965311854</v>
      </c>
      <c r="R62" s="112">
        <f t="shared" si="32"/>
        <v>140.48239965311853</v>
      </c>
      <c r="S62" s="112">
        <f t="shared" si="32"/>
        <v>137.08239965311853</v>
      </c>
      <c r="T62" s="112">
        <f t="shared" si="32"/>
        <v>132.38239965311854</v>
      </c>
      <c r="U62" s="112">
        <f t="shared" si="32"/>
        <v>128.48239965311853</v>
      </c>
      <c r="V62" s="112">
        <f t="shared" si="32"/>
        <v>135.48239965311853</v>
      </c>
      <c r="W62" s="112">
        <f t="shared" si="32"/>
        <v>132.08239965311853</v>
      </c>
      <c r="X62" s="112">
        <f t="shared" si="32"/>
        <v>143.32239965311851</v>
      </c>
      <c r="Y62" s="112">
        <f t="shared" si="32"/>
        <v>138.01239965311854</v>
      </c>
    </row>
    <row r="63" spans="1:25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  <c r="S63" s="101"/>
      <c r="T63" s="101"/>
      <c r="U63" s="101"/>
      <c r="V63" s="101"/>
      <c r="W63" s="101"/>
      <c r="X63" s="101"/>
      <c r="Y63" s="101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15" t="s">
        <v>16</v>
      </c>
      <c r="O64" s="115" t="s">
        <v>16</v>
      </c>
      <c r="P64" s="100" t="s">
        <v>16</v>
      </c>
      <c r="Q64" s="100" t="s">
        <v>16</v>
      </c>
      <c r="R64" s="115" t="s">
        <v>16</v>
      </c>
      <c r="S64" s="115" t="s">
        <v>16</v>
      </c>
      <c r="T64" s="115" t="s">
        <v>16</v>
      </c>
      <c r="U64" s="115" t="s">
        <v>16</v>
      </c>
      <c r="V64" s="115" t="s">
        <v>16</v>
      </c>
      <c r="W64" s="115" t="s">
        <v>16</v>
      </c>
      <c r="X64" s="115" t="s">
        <v>16</v>
      </c>
      <c r="Y64" s="115" t="s">
        <v>16</v>
      </c>
    </row>
    <row r="65" spans="1:25">
      <c r="A65" s="26" t="s">
        <v>98</v>
      </c>
      <c r="B65" s="39">
        <f t="shared" ref="B65:G65" si="33">B17-B23-B51+B21+B33</f>
        <v>112.00000000000003</v>
      </c>
      <c r="C65" s="39">
        <f t="shared" si="33"/>
        <v>106.40000000000003</v>
      </c>
      <c r="D65" s="39">
        <f t="shared" si="33"/>
        <v>112.06</v>
      </c>
      <c r="E65" s="39">
        <f t="shared" si="33"/>
        <v>107.23000000000002</v>
      </c>
      <c r="F65" s="76">
        <f t="shared" si="33"/>
        <v>111.54000000000005</v>
      </c>
      <c r="G65" s="76">
        <f t="shared" si="33"/>
        <v>107.06000000000003</v>
      </c>
      <c r="H65" s="27">
        <f t="shared" ref="H65:O65" si="34">H17-H23-H51+H21+H33</f>
        <v>109.07707314841775</v>
      </c>
      <c r="I65" s="27">
        <f t="shared" si="34"/>
        <v>102.73407314841774</v>
      </c>
      <c r="J65" s="39">
        <f t="shared" si="34"/>
        <v>111.83990250347435</v>
      </c>
      <c r="K65" s="39">
        <f t="shared" si="34"/>
        <v>109.40990250347436</v>
      </c>
      <c r="L65" s="39">
        <f t="shared" si="34"/>
        <v>110.22000000000003</v>
      </c>
      <c r="M65" s="39">
        <f t="shared" si="34"/>
        <v>104.03000000000003</v>
      </c>
      <c r="N65" s="112">
        <f t="shared" si="34"/>
        <v>111.10000000000002</v>
      </c>
      <c r="O65" s="112">
        <f t="shared" si="34"/>
        <v>106.70000000000005</v>
      </c>
      <c r="P65" s="39">
        <f t="shared" ref="P65:W65" si="35">P17-P23-P51+P21+P33</f>
        <v>110.83000000000004</v>
      </c>
      <c r="Q65" s="39">
        <f t="shared" si="35"/>
        <v>105.39000000000004</v>
      </c>
      <c r="R65" s="112">
        <f t="shared" si="35"/>
        <v>117.20000000000005</v>
      </c>
      <c r="S65" s="112">
        <f t="shared" si="35"/>
        <v>113.80000000000004</v>
      </c>
      <c r="T65" s="112">
        <f t="shared" si="35"/>
        <v>114.30000000000004</v>
      </c>
      <c r="U65" s="112">
        <f t="shared" si="35"/>
        <v>110.40000000000003</v>
      </c>
      <c r="V65" s="112">
        <f t="shared" si="35"/>
        <v>117.40000000000003</v>
      </c>
      <c r="W65" s="112">
        <f t="shared" si="35"/>
        <v>114.00000000000003</v>
      </c>
      <c r="X65" s="112">
        <f>X17-X23-X51+X21+X33</f>
        <v>110.24000000000004</v>
      </c>
      <c r="Y65" s="112">
        <f>Y17-Y23-Y51+Y21+Y33</f>
        <v>104.93000000000004</v>
      </c>
    </row>
  </sheetData>
  <mergeCells count="12">
    <mergeCell ref="X1:Y1"/>
    <mergeCell ref="T1:U1"/>
    <mergeCell ref="V1:W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5"/>
  <sheetViews>
    <sheetView workbookViewId="0">
      <pane xSplit="1" ySplit="1" topLeftCell="S2" activePane="bottomRight" state="frozen"/>
      <selection pane="topRight"/>
      <selection pane="bottomLeft"/>
      <selection pane="bottomRight" activeCell="U1" sqref="U1:V65"/>
    </sheetView>
  </sheetViews>
  <sheetFormatPr defaultColWidth="9" defaultRowHeight="15"/>
  <cols>
    <col min="1" max="1" width="62.1640625" style="1" customWidth="1"/>
    <col min="2" max="2" width="17.6640625" style="2" customWidth="1"/>
    <col min="3" max="3" width="18.1640625" style="1" customWidth="1"/>
    <col min="4" max="4" width="17.6640625" style="2" customWidth="1"/>
    <col min="5" max="5" width="18.1640625" style="1" customWidth="1"/>
    <col min="6" max="6" width="17.6640625" style="80" customWidth="1"/>
    <col min="7" max="7" width="18.1640625" style="1" customWidth="1"/>
    <col min="8" max="8" width="14.75" style="1" bestFit="1" customWidth="1"/>
    <col min="9" max="9" width="17.5" style="1" bestFit="1" customWidth="1"/>
    <col min="10" max="10" width="17.6640625" style="2" customWidth="1"/>
    <col min="11" max="11" width="18.1640625" style="1" customWidth="1"/>
    <col min="12" max="12" width="17.6640625" style="2" customWidth="1"/>
    <col min="13" max="13" width="18.1640625" style="1" customWidth="1"/>
    <col min="14" max="14" width="17.6640625" style="2" customWidth="1"/>
    <col min="15" max="16" width="18.1640625" style="1" customWidth="1"/>
    <col min="17" max="17" width="17.6640625" style="2" customWidth="1"/>
    <col min="18" max="18" width="18.1640625" style="1" customWidth="1"/>
    <col min="19" max="19" width="17.6640625" style="101" customWidth="1"/>
    <col min="20" max="20" width="18.1640625" style="106" customWidth="1"/>
    <col min="21" max="21" width="19.5" style="1" customWidth="1"/>
    <col min="22" max="22" width="15.83203125" style="1" customWidth="1"/>
    <col min="23" max="16384" width="9" style="1"/>
  </cols>
  <sheetData>
    <row r="1" spans="1:22" ht="14.25" customHeight="1">
      <c r="A1" s="3"/>
      <c r="B1" s="124" t="s">
        <v>101</v>
      </c>
      <c r="C1" s="124"/>
      <c r="D1" s="124" t="s">
        <v>102</v>
      </c>
      <c r="E1" s="124"/>
      <c r="F1" s="132" t="s">
        <v>119</v>
      </c>
      <c r="G1" s="132"/>
      <c r="H1" s="124" t="s">
        <v>125</v>
      </c>
      <c r="I1" s="124"/>
      <c r="J1" s="124" t="s">
        <v>126</v>
      </c>
      <c r="K1" s="124"/>
      <c r="L1" s="124" t="s">
        <v>127</v>
      </c>
      <c r="M1" s="124"/>
      <c r="N1" s="124" t="s">
        <v>128</v>
      </c>
      <c r="O1" s="124"/>
      <c r="P1" s="121" t="s">
        <v>130</v>
      </c>
      <c r="Q1" s="122"/>
      <c r="R1" s="123"/>
      <c r="S1" s="133" t="s">
        <v>135</v>
      </c>
      <c r="T1" s="133"/>
      <c r="U1" s="124" t="s">
        <v>129</v>
      </c>
      <c r="V1" s="124"/>
    </row>
    <row r="2" spans="1:22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4" t="s">
        <v>104</v>
      </c>
      <c r="Q2" s="31" t="s">
        <v>134</v>
      </c>
      <c r="R2" s="104" t="s">
        <v>106</v>
      </c>
      <c r="S2" s="113" t="s">
        <v>103</v>
      </c>
      <c r="T2" s="114" t="s">
        <v>117</v>
      </c>
      <c r="U2" s="5" t="s">
        <v>103</v>
      </c>
      <c r="V2" s="6" t="s">
        <v>117</v>
      </c>
    </row>
    <row r="3" spans="1:22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108">
        <v>28</v>
      </c>
      <c r="T3" s="108">
        <v>28</v>
      </c>
      <c r="U3" s="108">
        <v>28</v>
      </c>
      <c r="V3" s="108">
        <v>28</v>
      </c>
    </row>
    <row r="4" spans="1:2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108">
        <v>100</v>
      </c>
      <c r="T4" s="108">
        <v>100</v>
      </c>
      <c r="U4" s="108">
        <v>100</v>
      </c>
      <c r="V4" s="108">
        <v>100</v>
      </c>
    </row>
    <row r="5" spans="1:22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</row>
    <row r="6" spans="1:22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108" t="s">
        <v>16</v>
      </c>
      <c r="T6" s="108" t="s">
        <v>16</v>
      </c>
      <c r="U6" s="108" t="s">
        <v>16</v>
      </c>
      <c r="V6" s="108" t="s">
        <v>16</v>
      </c>
    </row>
    <row r="7" spans="1:22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</row>
    <row r="8" spans="1:22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110">
        <v>0.1</v>
      </c>
      <c r="T8" s="110">
        <v>0.1</v>
      </c>
      <c r="U8" s="110">
        <v>0.1</v>
      </c>
      <c r="V8" s="110">
        <v>0.1</v>
      </c>
    </row>
    <row r="9" spans="1:22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107" t="s">
        <v>22</v>
      </c>
      <c r="T9" s="107" t="s">
        <v>22</v>
      </c>
      <c r="U9" s="107" t="s">
        <v>22</v>
      </c>
      <c r="V9" s="107" t="s">
        <v>22</v>
      </c>
    </row>
    <row r="10" spans="1:22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108">
        <v>3</v>
      </c>
      <c r="T10" s="108">
        <v>3</v>
      </c>
      <c r="U10" s="108">
        <v>3</v>
      </c>
      <c r="V10" s="108">
        <v>3</v>
      </c>
    </row>
    <row r="11" spans="1:22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09"/>
      <c r="T11" s="109"/>
      <c r="U11" s="109"/>
      <c r="V11" s="109"/>
    </row>
    <row r="12" spans="1:22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  <c r="S12" s="108">
        <v>128</v>
      </c>
      <c r="T12" s="108">
        <v>128</v>
      </c>
      <c r="U12" s="108">
        <v>128</v>
      </c>
      <c r="V12" s="108">
        <v>128</v>
      </c>
    </row>
    <row r="13" spans="1:22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108">
        <v>2</v>
      </c>
      <c r="T13" s="108">
        <v>2</v>
      </c>
      <c r="U13" s="108">
        <v>2</v>
      </c>
      <c r="V13" s="108">
        <v>2</v>
      </c>
    </row>
    <row r="14" spans="1:22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  <c r="S14" s="108">
        <v>2</v>
      </c>
      <c r="T14" s="108">
        <v>2</v>
      </c>
      <c r="U14" s="108">
        <v>2</v>
      </c>
      <c r="V14" s="108">
        <v>2</v>
      </c>
    </row>
    <row r="15" spans="1:22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108">
        <v>3</v>
      </c>
      <c r="T15" s="108">
        <v>3</v>
      </c>
      <c r="U15" s="108">
        <v>3</v>
      </c>
      <c r="V15" s="108">
        <v>3</v>
      </c>
    </row>
    <row r="16" spans="1:22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T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8">
        <f t="shared" si="2"/>
        <v>23</v>
      </c>
      <c r="S16" s="108">
        <f t="shared" si="2"/>
        <v>23</v>
      </c>
      <c r="T16" s="108">
        <f t="shared" si="2"/>
        <v>23</v>
      </c>
      <c r="U16" s="108">
        <f>U15+10*LOG10(U4)</f>
        <v>23</v>
      </c>
      <c r="V16" s="108">
        <f>V15+10*LOG10(V4)</f>
        <v>23</v>
      </c>
    </row>
    <row r="17" spans="1:22" ht="28">
      <c r="A17" s="7" t="s">
        <v>35</v>
      </c>
      <c r="B17" s="15">
        <f t="shared" ref="B17:G17" si="3">B15+10*LOG10(B42/1000000)</f>
        <v>17.13634997198556</v>
      </c>
      <c r="C17" s="15">
        <f t="shared" si="3"/>
        <v>17.13634997198556</v>
      </c>
      <c r="D17" s="15">
        <f t="shared" si="3"/>
        <v>20.265642161622448</v>
      </c>
      <c r="E17" s="15">
        <f t="shared" si="3"/>
        <v>20.265642161622448</v>
      </c>
      <c r="F17" s="73">
        <f t="shared" si="3"/>
        <v>17.13634997198556</v>
      </c>
      <c r="G17" s="73">
        <f t="shared" si="3"/>
        <v>17.13634997198556</v>
      </c>
      <c r="H17" s="15">
        <f t="shared" ref="H17:M17" si="4">H15+10*LOG10(H42/1000000)</f>
        <v>21.115750058705935</v>
      </c>
      <c r="I17" s="15">
        <f t="shared" si="4"/>
        <v>21.115750058705935</v>
      </c>
      <c r="J17" s="8">
        <f t="shared" si="4"/>
        <v>20.265642161622448</v>
      </c>
      <c r="K17" s="8">
        <f t="shared" si="4"/>
        <v>20.265642161622448</v>
      </c>
      <c r="L17" s="15">
        <f t="shared" si="4"/>
        <v>17.13634997198556</v>
      </c>
      <c r="M17" s="15">
        <f t="shared" si="4"/>
        <v>17.13634997198556</v>
      </c>
      <c r="N17" s="8">
        <f t="shared" ref="N17:T17" si="5">N15+10*LOG10(N42/1000000)</f>
        <v>17.13634997198556</v>
      </c>
      <c r="O17" s="8">
        <f t="shared" si="5"/>
        <v>17.13634997198556</v>
      </c>
      <c r="P17" s="8">
        <f t="shared" si="5"/>
        <v>22.779064276371184</v>
      </c>
      <c r="Q17" s="8">
        <f t="shared" si="5"/>
        <v>19.635124704151558</v>
      </c>
      <c r="R17" s="8">
        <f t="shared" si="5"/>
        <v>19.635124704151558</v>
      </c>
      <c r="S17" s="108">
        <f t="shared" si="5"/>
        <v>17.13634997198556</v>
      </c>
      <c r="T17" s="108">
        <f t="shared" si="5"/>
        <v>17.13634997198556</v>
      </c>
      <c r="U17" s="108">
        <f>U15+10*LOG10(U42/1000000)</f>
        <v>17.13634997198556</v>
      </c>
      <c r="V17" s="108">
        <f>V15+10*LOG10(V42/1000000)</f>
        <v>17.13634997198556</v>
      </c>
    </row>
    <row r="18" spans="1:22" ht="42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T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8">
        <f t="shared" si="8"/>
        <v>26.061799739838872</v>
      </c>
      <c r="S18" s="108">
        <f t="shared" si="8"/>
        <v>16.261799739838871</v>
      </c>
      <c r="T18" s="108">
        <f t="shared" si="8"/>
        <v>16.261799739838871</v>
      </c>
      <c r="U18" s="108">
        <f>U19+10*LOG10(U12/U13)-U20</f>
        <v>26.061799739838872</v>
      </c>
      <c r="V18" s="108">
        <f>V19+10*LOG10(V12/V13)-V20</f>
        <v>26.061799739838872</v>
      </c>
    </row>
    <row r="19" spans="1:22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108">
        <v>8</v>
      </c>
      <c r="T19" s="108">
        <v>8</v>
      </c>
      <c r="U19" s="108">
        <v>8</v>
      </c>
      <c r="V19" s="108">
        <v>8</v>
      </c>
    </row>
    <row r="20" spans="1:22" ht="42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  <c r="S20" s="107">
        <v>9.8000000000000007</v>
      </c>
      <c r="T20" s="107">
        <v>9.8000000000000007</v>
      </c>
      <c r="U20" s="107">
        <v>0</v>
      </c>
      <c r="V20" s="107">
        <v>0</v>
      </c>
    </row>
    <row r="21" spans="1:22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107">
        <v>0</v>
      </c>
      <c r="T21" s="107">
        <v>0</v>
      </c>
      <c r="U21" s="107">
        <v>0</v>
      </c>
      <c r="V21" s="107">
        <v>0</v>
      </c>
    </row>
    <row r="22" spans="1:22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08">
        <v>0</v>
      </c>
      <c r="T22" s="108">
        <v>0</v>
      </c>
      <c r="U22" s="108">
        <v>0</v>
      </c>
      <c r="V22" s="108">
        <v>0</v>
      </c>
    </row>
    <row r="23" spans="1:22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08">
        <v>0</v>
      </c>
      <c r="T23" s="108">
        <v>0</v>
      </c>
      <c r="U23" s="108">
        <v>0</v>
      </c>
      <c r="V23" s="108">
        <v>0</v>
      </c>
    </row>
    <row r="24" spans="1:22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  <c r="S24" s="108">
        <v>3</v>
      </c>
      <c r="T24" s="108">
        <v>3</v>
      </c>
      <c r="U24" s="108">
        <v>3</v>
      </c>
      <c r="V24" s="108">
        <v>3</v>
      </c>
    </row>
    <row r="25" spans="1:22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</row>
    <row r="26" spans="1:22">
      <c r="A26" s="7" t="s">
        <v>51</v>
      </c>
      <c r="B26" s="15">
        <f t="shared" ref="B26:G26" si="9">B17+B18+B21-B23-B24</f>
        <v>40.198149711824428</v>
      </c>
      <c r="C26" s="15">
        <f t="shared" si="9"/>
        <v>40.198149711824428</v>
      </c>
      <c r="D26" s="15">
        <f t="shared" si="9"/>
        <v>37.157441901461326</v>
      </c>
      <c r="E26" s="15">
        <f t="shared" si="9"/>
        <v>37.157441901461326</v>
      </c>
      <c r="F26" s="73">
        <f t="shared" si="9"/>
        <v>40.198149711824428</v>
      </c>
      <c r="G26" s="73">
        <f t="shared" si="9"/>
        <v>40.198149711824428</v>
      </c>
      <c r="H26" s="15">
        <f t="shared" ref="H26:M26" si="10">H17+H18+H21-H23-H24</f>
        <v>35.697549798544806</v>
      </c>
      <c r="I26" s="15">
        <f t="shared" si="10"/>
        <v>35.697549798544806</v>
      </c>
      <c r="J26" s="8">
        <f t="shared" si="10"/>
        <v>43.32744190146132</v>
      </c>
      <c r="K26" s="8">
        <f t="shared" si="10"/>
        <v>43.32744190146132</v>
      </c>
      <c r="L26" s="15">
        <f t="shared" si="10"/>
        <v>40.198149711824428</v>
      </c>
      <c r="M26" s="15">
        <f t="shared" si="10"/>
        <v>40.198149711824428</v>
      </c>
      <c r="N26" s="8">
        <f t="shared" ref="N26:T26" si="11">N17+N18+N21-N23-N24</f>
        <v>31.198149711824428</v>
      </c>
      <c r="O26" s="8">
        <f t="shared" si="11"/>
        <v>31.198149711824428</v>
      </c>
      <c r="P26" s="8">
        <f t="shared" si="11"/>
        <v>45.840864016210055</v>
      </c>
      <c r="Q26" s="8">
        <f t="shared" si="11"/>
        <v>42.696924443990426</v>
      </c>
      <c r="R26" s="8">
        <f t="shared" si="11"/>
        <v>42.696924443990426</v>
      </c>
      <c r="S26" s="108">
        <f t="shared" si="11"/>
        <v>30.398149711824431</v>
      </c>
      <c r="T26" s="108">
        <f t="shared" si="11"/>
        <v>30.398149711824431</v>
      </c>
      <c r="U26" s="108">
        <f>U17+U18+U21-U23-U24</f>
        <v>40.198149711824428</v>
      </c>
      <c r="V26" s="108">
        <f>V17+V18+V21-V23-V24</f>
        <v>40.198149711824428</v>
      </c>
    </row>
    <row r="27" spans="1:22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09"/>
      <c r="T27" s="109"/>
      <c r="U27" s="109"/>
      <c r="V27" s="109"/>
    </row>
    <row r="28" spans="1:22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  <c r="S28" s="108">
        <v>8</v>
      </c>
      <c r="T28" s="108">
        <v>4</v>
      </c>
      <c r="U28" s="108">
        <v>8</v>
      </c>
      <c r="V28" s="108">
        <v>4</v>
      </c>
    </row>
    <row r="29" spans="1:22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  <c r="S29" s="108">
        <v>2</v>
      </c>
      <c r="T29" s="108">
        <v>1</v>
      </c>
      <c r="U29" s="108">
        <v>2</v>
      </c>
      <c r="V29" s="108">
        <v>1</v>
      </c>
    </row>
    <row r="30" spans="1:22" ht="42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T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8">
        <f t="shared" si="14"/>
        <v>11.020599913279625</v>
      </c>
      <c r="S30" s="108">
        <f t="shared" si="14"/>
        <v>11.020599913279625</v>
      </c>
      <c r="T30" s="108">
        <f t="shared" si="14"/>
        <v>11.020599913279625</v>
      </c>
      <c r="U30" s="108">
        <f>U31+10*LOG10(U28/U29)-U32</f>
        <v>11.020599913279625</v>
      </c>
      <c r="V30" s="108">
        <f>V31+10*LOG10(V28/V29)-V32</f>
        <v>11.020599913279625</v>
      </c>
    </row>
    <row r="31" spans="1:22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  <c r="S31" s="108">
        <v>5</v>
      </c>
      <c r="T31" s="108">
        <v>5</v>
      </c>
      <c r="U31" s="108">
        <v>5</v>
      </c>
      <c r="V31" s="108">
        <v>5</v>
      </c>
    </row>
    <row r="32" spans="1:22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  <c r="S32" s="107">
        <v>0</v>
      </c>
      <c r="T32" s="107">
        <v>0</v>
      </c>
      <c r="U32" s="107">
        <v>0</v>
      </c>
      <c r="V32" s="107">
        <v>0</v>
      </c>
    </row>
    <row r="33" spans="1:22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08">
        <v>0</v>
      </c>
      <c r="T33" s="108">
        <v>0</v>
      </c>
      <c r="U33" s="108">
        <v>0</v>
      </c>
      <c r="V33" s="108">
        <v>0</v>
      </c>
    </row>
    <row r="34" spans="1:22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108">
        <v>1</v>
      </c>
      <c r="T34" s="108">
        <v>1</v>
      </c>
      <c r="U34" s="108">
        <v>1</v>
      </c>
      <c r="V34" s="108">
        <v>1</v>
      </c>
    </row>
    <row r="35" spans="1:22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108">
        <v>7</v>
      </c>
      <c r="T35" s="108">
        <v>7</v>
      </c>
      <c r="U35" s="108">
        <v>7</v>
      </c>
      <c r="V35" s="108">
        <v>7</v>
      </c>
    </row>
    <row r="36" spans="1:2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108">
        <v>-174</v>
      </c>
      <c r="T36" s="108">
        <v>-174</v>
      </c>
      <c r="U36" s="108">
        <v>-174</v>
      </c>
      <c r="V36" s="108">
        <v>-174</v>
      </c>
    </row>
    <row r="37" spans="1:22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108" t="s">
        <v>16</v>
      </c>
      <c r="T37" s="108" t="s">
        <v>16</v>
      </c>
      <c r="U37" s="108" t="s">
        <v>16</v>
      </c>
      <c r="V37" s="108" t="s">
        <v>16</v>
      </c>
    </row>
    <row r="38" spans="1:22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107">
        <v>-999</v>
      </c>
      <c r="T38" s="107">
        <v>-999</v>
      </c>
      <c r="U38" s="107">
        <v>-999</v>
      </c>
      <c r="V38" s="107">
        <v>-999</v>
      </c>
    </row>
    <row r="39" spans="1:22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</row>
    <row r="40" spans="1:22" ht="28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T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8">
        <f t="shared" si="17"/>
        <v>-167.00000000000003</v>
      </c>
      <c r="S40" s="108">
        <f t="shared" si="17"/>
        <v>-167.00000000000003</v>
      </c>
      <c r="T40" s="108">
        <f t="shared" si="17"/>
        <v>-167.00000000000003</v>
      </c>
      <c r="U40" s="108">
        <f>10*LOG10(10^((U35+U36)/10)+10^(U38/10))</f>
        <v>-167.00000000000003</v>
      </c>
      <c r="V40" s="108">
        <f>10*LOG10(10^((V35+V36)/10)+10^(V38/10))</f>
        <v>-167.00000000000003</v>
      </c>
    </row>
    <row r="41" spans="1:22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  <c r="S41" s="108" t="s">
        <v>16</v>
      </c>
      <c r="T41" s="108" t="s">
        <v>16</v>
      </c>
      <c r="U41" s="108" t="s">
        <v>16</v>
      </c>
      <c r="V41" s="108" t="s">
        <v>16</v>
      </c>
    </row>
    <row r="42" spans="1:22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  <c r="S42" s="111">
        <f>18*12*120*1000</f>
        <v>25920000</v>
      </c>
      <c r="T42" s="111">
        <f>18*12*120*1000</f>
        <v>25920000</v>
      </c>
      <c r="U42" s="111">
        <f t="shared" ref="U42:V42" si="18">18*12*120*1000</f>
        <v>25920000</v>
      </c>
      <c r="V42" s="111">
        <f t="shared" si="18"/>
        <v>25920000</v>
      </c>
    </row>
    <row r="43" spans="1:22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  <c r="S43" s="108" t="s">
        <v>16</v>
      </c>
      <c r="T43" s="108" t="s">
        <v>16</v>
      </c>
      <c r="U43" s="108" t="s">
        <v>16</v>
      </c>
      <c r="V43" s="108" t="s">
        <v>16</v>
      </c>
    </row>
    <row r="44" spans="1:22">
      <c r="A44" s="7" t="s">
        <v>72</v>
      </c>
      <c r="B44" s="15">
        <f t="shared" ref="B44:G44" si="19">B40+10*LOG10(B42)</f>
        <v>-92.863650028014476</v>
      </c>
      <c r="C44" s="15">
        <f t="shared" si="19"/>
        <v>-92.863650028014476</v>
      </c>
      <c r="D44" s="15">
        <f t="shared" si="19"/>
        <v>-86.734357838377562</v>
      </c>
      <c r="E44" s="15">
        <f t="shared" si="19"/>
        <v>-86.734357838377562</v>
      </c>
      <c r="F44" s="73">
        <f t="shared" si="19"/>
        <v>-92.863650028014476</v>
      </c>
      <c r="G44" s="73">
        <f t="shared" si="19"/>
        <v>-92.863650028014476</v>
      </c>
      <c r="H44" s="15">
        <f t="shared" ref="H44:M44" si="20">H40+10*LOG10(H42)</f>
        <v>-85.470323089711812</v>
      </c>
      <c r="I44" s="15">
        <f t="shared" si="20"/>
        <v>-85.470323089711812</v>
      </c>
      <c r="J44" s="8">
        <f t="shared" si="20"/>
        <v>-88.944260341851916</v>
      </c>
      <c r="K44" s="8">
        <f t="shared" si="20"/>
        <v>-88.944260341851916</v>
      </c>
      <c r="L44" s="15">
        <f t="shared" si="20"/>
        <v>-92.863650028014476</v>
      </c>
      <c r="M44" s="15">
        <f t="shared" si="20"/>
        <v>-92.863650028014476</v>
      </c>
      <c r="N44" s="8">
        <f t="shared" ref="N44:T44" si="21">N40+10*LOG10(N42)</f>
        <v>-92.863650028014476</v>
      </c>
      <c r="O44" s="8">
        <f t="shared" si="21"/>
        <v>-92.863650028014476</v>
      </c>
      <c r="P44" s="8">
        <f t="shared" si="21"/>
        <v>-87.220935723628841</v>
      </c>
      <c r="Q44" s="8">
        <f t="shared" si="21"/>
        <v>-90.364875295848478</v>
      </c>
      <c r="R44" s="8">
        <f t="shared" si="21"/>
        <v>-90.364875295848478</v>
      </c>
      <c r="S44" s="108">
        <f t="shared" si="21"/>
        <v>-92.863650028014476</v>
      </c>
      <c r="T44" s="108">
        <f t="shared" si="21"/>
        <v>-92.863650028014476</v>
      </c>
      <c r="U44" s="108">
        <f>U40+10*LOG10(U42)</f>
        <v>-92.863650028014476</v>
      </c>
      <c r="V44" s="108">
        <f>V40+10*LOG10(V42)</f>
        <v>-92.863650028014476</v>
      </c>
    </row>
    <row r="45" spans="1:22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  <c r="S45" s="108" t="s">
        <v>16</v>
      </c>
      <c r="T45" s="108" t="s">
        <v>16</v>
      </c>
      <c r="U45" s="108" t="s">
        <v>16</v>
      </c>
      <c r="V45" s="108" t="s">
        <v>16</v>
      </c>
    </row>
    <row r="46" spans="1:22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  <c r="S46" s="111">
        <v>-6.3</v>
      </c>
      <c r="T46" s="111">
        <v>-2.7</v>
      </c>
      <c r="U46" s="111">
        <v>-1.39</v>
      </c>
      <c r="V46" s="111">
        <v>3.18</v>
      </c>
    </row>
    <row r="47" spans="1:22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108">
        <v>2</v>
      </c>
      <c r="T47" s="108">
        <v>2</v>
      </c>
      <c r="U47" s="108">
        <v>2</v>
      </c>
      <c r="V47" s="108">
        <v>2</v>
      </c>
    </row>
    <row r="48" spans="1:22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108" t="s">
        <v>16</v>
      </c>
      <c r="T48" s="108" t="s">
        <v>16</v>
      </c>
      <c r="U48" s="108" t="s">
        <v>16</v>
      </c>
      <c r="V48" s="108" t="s">
        <v>16</v>
      </c>
    </row>
    <row r="49" spans="1:2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08">
        <v>0</v>
      </c>
      <c r="T49" s="108">
        <v>0</v>
      </c>
      <c r="U49" s="108">
        <v>0</v>
      </c>
      <c r="V49" s="108">
        <v>0</v>
      </c>
    </row>
    <row r="50" spans="1:22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</row>
    <row r="51" spans="1:22" ht="28">
      <c r="A51" s="7" t="s">
        <v>82</v>
      </c>
      <c r="B51" s="15">
        <f t="shared" ref="B51:G51" si="22">B44+B46+B47-B49</f>
        <v>-92.263650028014482</v>
      </c>
      <c r="C51" s="15">
        <f t="shared" si="22"/>
        <v>-86.96365002801447</v>
      </c>
      <c r="D51" s="15">
        <f t="shared" si="22"/>
        <v>-92.084357838377557</v>
      </c>
      <c r="E51" s="15">
        <f t="shared" si="22"/>
        <v>-87.494357838377567</v>
      </c>
      <c r="F51" s="73">
        <f t="shared" si="22"/>
        <v>-93.953650028014479</v>
      </c>
      <c r="G51" s="73">
        <f t="shared" si="22"/>
        <v>-89.183650028014469</v>
      </c>
      <c r="H51" s="15">
        <f t="shared" ref="H51:M51" si="23">H44+H46+H47-H49</f>
        <v>-89.420323089711815</v>
      </c>
      <c r="I51" s="15">
        <f t="shared" si="23"/>
        <v>-84.820323089711806</v>
      </c>
      <c r="J51" s="8">
        <f t="shared" si="23"/>
        <v>-90.744260341851913</v>
      </c>
      <c r="K51" s="8">
        <f t="shared" si="23"/>
        <v>-88.144260341851918</v>
      </c>
      <c r="L51" s="15">
        <f t="shared" si="23"/>
        <v>-91.73365002801448</v>
      </c>
      <c r="M51" s="15">
        <f t="shared" si="23"/>
        <v>-86.743650028014471</v>
      </c>
      <c r="N51" s="8">
        <f t="shared" ref="N51:T51" si="24">N44+N46+N47-N49</f>
        <v>-92.763650028014482</v>
      </c>
      <c r="O51" s="8">
        <f t="shared" si="24"/>
        <v>-88.263650028014482</v>
      </c>
      <c r="P51" s="8">
        <f t="shared" si="24"/>
        <v>-87.950935723628845</v>
      </c>
      <c r="Q51" s="8">
        <f t="shared" si="24"/>
        <v>-91.484875295848482</v>
      </c>
      <c r="R51" s="8">
        <f t="shared" si="24"/>
        <v>-87.494875295848473</v>
      </c>
      <c r="S51" s="108">
        <f t="shared" si="24"/>
        <v>-97.163650028014473</v>
      </c>
      <c r="T51" s="108">
        <f t="shared" si="24"/>
        <v>-93.563650028014479</v>
      </c>
      <c r="U51" s="108">
        <f>U44+U46+U47-U49</f>
        <v>-92.253650028014476</v>
      </c>
      <c r="V51" s="108">
        <f>V44+V46+V47-V49</f>
        <v>-87.683650028014469</v>
      </c>
    </row>
    <row r="52" spans="1:22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  <c r="S52" s="115" t="s">
        <v>16</v>
      </c>
      <c r="T52" s="115" t="s">
        <v>16</v>
      </c>
      <c r="U52" s="115" t="s">
        <v>16</v>
      </c>
      <c r="V52" s="115" t="s">
        <v>16</v>
      </c>
    </row>
    <row r="53" spans="1:22" ht="28">
      <c r="A53" s="26" t="s">
        <v>85</v>
      </c>
      <c r="B53" s="39">
        <f t="shared" ref="B53:G53" si="25">B26+B30+B33-B34-B51</f>
        <v>142.48239965311853</v>
      </c>
      <c r="C53" s="39">
        <f t="shared" si="25"/>
        <v>137.18239965311852</v>
      </c>
      <c r="D53" s="39">
        <f t="shared" si="25"/>
        <v>139.26239965311851</v>
      </c>
      <c r="E53" s="39">
        <f t="shared" si="25"/>
        <v>134.67239965311853</v>
      </c>
      <c r="F53" s="76">
        <f t="shared" si="25"/>
        <v>144.17239965311853</v>
      </c>
      <c r="G53" s="76">
        <f t="shared" si="25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V53" si="26">J26+J30+J33-J34-J51</f>
        <v>144.09230215659287</v>
      </c>
      <c r="K53" s="39">
        <f t="shared" si="26"/>
        <v>141.49230215659287</v>
      </c>
      <c r="L53" s="39">
        <f t="shared" si="26"/>
        <v>141.95239965311853</v>
      </c>
      <c r="M53" s="39">
        <f t="shared" si="26"/>
        <v>136.96239965311852</v>
      </c>
      <c r="N53" s="39">
        <f t="shared" si="26"/>
        <v>127.98239965311853</v>
      </c>
      <c r="O53" s="39">
        <f t="shared" si="26"/>
        <v>123.48239965311853</v>
      </c>
      <c r="P53" s="39">
        <f t="shared" si="26"/>
        <v>143.81239965311852</v>
      </c>
      <c r="Q53" s="39">
        <f t="shared" si="26"/>
        <v>144.20239965311853</v>
      </c>
      <c r="R53" s="39">
        <f t="shared" si="26"/>
        <v>140.21239965311852</v>
      </c>
      <c r="S53" s="112">
        <f t="shared" si="26"/>
        <v>137.58239965311853</v>
      </c>
      <c r="T53" s="112">
        <f t="shared" si="26"/>
        <v>133.98239965311853</v>
      </c>
      <c r="U53" s="112">
        <f t="shared" si="26"/>
        <v>142.47239965311854</v>
      </c>
      <c r="V53" s="112">
        <f t="shared" si="26"/>
        <v>137.90239965311852</v>
      </c>
    </row>
    <row r="54" spans="1:22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09"/>
      <c r="T54" s="109"/>
      <c r="U54" s="109"/>
      <c r="V54" s="109"/>
    </row>
    <row r="55" spans="1:22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107">
        <v>0</v>
      </c>
      <c r="T55" s="107">
        <v>0</v>
      </c>
      <c r="U55" s="107">
        <v>0</v>
      </c>
      <c r="V55" s="107">
        <v>0</v>
      </c>
    </row>
    <row r="56" spans="1:22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</row>
    <row r="57" spans="1:22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107">
        <v>0</v>
      </c>
      <c r="T57" s="107">
        <v>0</v>
      </c>
      <c r="U57" s="107">
        <v>0</v>
      </c>
      <c r="V57" s="107">
        <v>0</v>
      </c>
    </row>
    <row r="58" spans="1:22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107">
        <v>0</v>
      </c>
      <c r="T58" s="107">
        <v>0</v>
      </c>
      <c r="U58" s="107">
        <v>0</v>
      </c>
      <c r="V58" s="107">
        <v>0</v>
      </c>
    </row>
    <row r="59" spans="1:22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107">
        <v>0</v>
      </c>
      <c r="T59" s="107">
        <v>0</v>
      </c>
      <c r="U59" s="107">
        <v>0</v>
      </c>
      <c r="V59" s="107">
        <v>0</v>
      </c>
    </row>
    <row r="60" spans="1:22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107">
        <v>0</v>
      </c>
      <c r="T60" s="107">
        <v>0</v>
      </c>
      <c r="U60" s="107">
        <v>0</v>
      </c>
      <c r="V60" s="107">
        <v>0</v>
      </c>
    </row>
    <row r="61" spans="1:22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  <c r="S61" s="115" t="s">
        <v>16</v>
      </c>
      <c r="T61" s="115" t="s">
        <v>16</v>
      </c>
      <c r="U61" s="115" t="s">
        <v>16</v>
      </c>
      <c r="V61" s="115" t="s">
        <v>16</v>
      </c>
    </row>
    <row r="62" spans="1:22" ht="28">
      <c r="A62" s="26" t="s">
        <v>111</v>
      </c>
      <c r="B62" s="39">
        <f t="shared" ref="B62:G62" si="27">B53-B57+B58-B59+B60</f>
        <v>142.48239965311853</v>
      </c>
      <c r="C62" s="39">
        <f t="shared" si="27"/>
        <v>137.18239965311852</v>
      </c>
      <c r="D62" s="39">
        <f t="shared" si="27"/>
        <v>139.26239965311851</v>
      </c>
      <c r="E62" s="39">
        <f t="shared" si="27"/>
        <v>134.67239965311853</v>
      </c>
      <c r="F62" s="76">
        <f t="shared" si="27"/>
        <v>144.17239965311853</v>
      </c>
      <c r="G62" s="76">
        <f t="shared" si="27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V62" si="28">J53-J57+J58-J59+J60</f>
        <v>144.09230215659287</v>
      </c>
      <c r="K62" s="39">
        <f t="shared" si="28"/>
        <v>141.49230215659287</v>
      </c>
      <c r="L62" s="39">
        <f t="shared" si="28"/>
        <v>141.95239965311853</v>
      </c>
      <c r="M62" s="39">
        <f t="shared" si="28"/>
        <v>136.96239965311852</v>
      </c>
      <c r="N62" s="39">
        <f t="shared" si="28"/>
        <v>127.98239965311853</v>
      </c>
      <c r="O62" s="39">
        <f t="shared" si="28"/>
        <v>123.48239965311853</v>
      </c>
      <c r="P62" s="39">
        <f t="shared" si="28"/>
        <v>143.81239965311852</v>
      </c>
      <c r="Q62" s="39">
        <f t="shared" si="28"/>
        <v>144.20239965311853</v>
      </c>
      <c r="R62" s="39">
        <f t="shared" si="28"/>
        <v>140.21239965311852</v>
      </c>
      <c r="S62" s="112">
        <f t="shared" si="28"/>
        <v>137.58239965311853</v>
      </c>
      <c r="T62" s="112">
        <f t="shared" si="28"/>
        <v>133.98239965311853</v>
      </c>
      <c r="U62" s="112">
        <f t="shared" si="28"/>
        <v>142.47239965311854</v>
      </c>
      <c r="V62" s="112">
        <f t="shared" si="28"/>
        <v>137.90239965311852</v>
      </c>
    </row>
    <row r="63" spans="1:22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  <c r="T63" s="101"/>
      <c r="U63" s="2"/>
      <c r="V63" s="2"/>
    </row>
    <row r="64" spans="1:22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  <c r="S64" s="115" t="s">
        <v>16</v>
      </c>
      <c r="T64" s="115" t="s">
        <v>16</v>
      </c>
      <c r="U64" s="103" t="s">
        <v>16</v>
      </c>
      <c r="V64" s="103" t="s">
        <v>16</v>
      </c>
    </row>
    <row r="65" spans="1:22">
      <c r="A65" s="26" t="s">
        <v>98</v>
      </c>
      <c r="B65" s="39">
        <f t="shared" ref="B65:G65" si="29">B17-B23-B51+B21+B33</f>
        <v>109.40000000000003</v>
      </c>
      <c r="C65" s="39">
        <f t="shared" si="29"/>
        <v>104.10000000000002</v>
      </c>
      <c r="D65" s="39">
        <f t="shared" si="29"/>
        <v>112.35000000000001</v>
      </c>
      <c r="E65" s="39">
        <f t="shared" si="29"/>
        <v>107.76000000000002</v>
      </c>
      <c r="F65" s="76">
        <f t="shared" si="29"/>
        <v>111.09000000000003</v>
      </c>
      <c r="G65" s="76">
        <f t="shared" si="29"/>
        <v>106.32000000000002</v>
      </c>
      <c r="H65" s="27">
        <f t="shared" ref="H65:M65" si="30">H17-H23-H51+H21+H33</f>
        <v>110.53607314841776</v>
      </c>
      <c r="I65" s="27">
        <f t="shared" si="30"/>
        <v>105.93607314841773</v>
      </c>
      <c r="J65" s="39">
        <f t="shared" si="30"/>
        <v>111.00990250347436</v>
      </c>
      <c r="K65" s="39">
        <f t="shared" si="30"/>
        <v>108.40990250347437</v>
      </c>
      <c r="L65" s="39">
        <f t="shared" si="30"/>
        <v>108.87000000000003</v>
      </c>
      <c r="M65" s="39">
        <f t="shared" si="30"/>
        <v>103.88000000000002</v>
      </c>
      <c r="N65" s="27">
        <f t="shared" ref="N65:T65" si="31">N17-N23-N51+N21+N33</f>
        <v>109.90000000000003</v>
      </c>
      <c r="O65" s="27">
        <f t="shared" si="31"/>
        <v>105.40000000000003</v>
      </c>
      <c r="P65" s="39">
        <f t="shared" si="31"/>
        <v>110.73000000000003</v>
      </c>
      <c r="Q65" s="39">
        <f t="shared" si="31"/>
        <v>111.12000000000003</v>
      </c>
      <c r="R65" s="39">
        <f t="shared" si="31"/>
        <v>107.13000000000002</v>
      </c>
      <c r="S65" s="112">
        <f t="shared" si="31"/>
        <v>114.30000000000004</v>
      </c>
      <c r="T65" s="112">
        <f t="shared" si="31"/>
        <v>110.70000000000005</v>
      </c>
      <c r="U65" s="27">
        <f>U17-U23-U51+U21+U33</f>
        <v>109.39000000000004</v>
      </c>
      <c r="V65" s="27">
        <f>V17-V23-V51+V21+V33</f>
        <v>104.82000000000002</v>
      </c>
    </row>
  </sheetData>
  <mergeCells count="10">
    <mergeCell ref="U1:V1"/>
    <mergeCell ref="S1:T1"/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65"/>
  <sheetViews>
    <sheetView tabSelected="1" zoomScaleNormal="100" workbookViewId="0">
      <pane xSplit="1" ySplit="1" topLeftCell="R2" activePane="bottomRight" state="frozen"/>
      <selection pane="topRight"/>
      <selection pane="bottomLeft"/>
      <selection pane="bottomRight" activeCell="T1" sqref="T1:U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7.75" style="1" customWidth="1"/>
    <col min="4" max="4" width="15.6640625" style="2" customWidth="1"/>
    <col min="5" max="5" width="17.75" style="1" customWidth="1"/>
    <col min="6" max="6" width="15.6640625" style="80" customWidth="1"/>
    <col min="7" max="7" width="17.75" style="1" customWidth="1"/>
    <col min="8" max="8" width="14.6640625" style="1" bestFit="1" customWidth="1"/>
    <col min="9" max="9" width="17.33203125" style="1" bestFit="1" customWidth="1"/>
    <col min="10" max="10" width="15.6640625" style="2" customWidth="1"/>
    <col min="11" max="11" width="17.75" style="1" customWidth="1"/>
    <col min="12" max="12" width="15.6640625" style="2" customWidth="1"/>
    <col min="13" max="13" width="17.75" style="1" customWidth="1"/>
    <col min="14" max="14" width="15.6640625" style="2" customWidth="1"/>
    <col min="15" max="15" width="17.75" style="1" customWidth="1"/>
    <col min="16" max="16" width="15.6640625" style="2" customWidth="1"/>
    <col min="17" max="17" width="17.6640625" style="1" customWidth="1"/>
    <col min="18" max="18" width="15.6640625" style="101" customWidth="1"/>
    <col min="19" max="19" width="17.75" style="106" customWidth="1"/>
    <col min="20" max="20" width="20" style="1" customWidth="1"/>
    <col min="21" max="21" width="18.4140625" style="1" customWidth="1"/>
    <col min="22" max="16384" width="9" style="1"/>
  </cols>
  <sheetData>
    <row r="1" spans="1:21" ht="14.25" customHeight="1">
      <c r="A1" s="3"/>
      <c r="B1" s="121" t="s">
        <v>101</v>
      </c>
      <c r="C1" s="122"/>
      <c r="D1" s="121" t="s">
        <v>102</v>
      </c>
      <c r="E1" s="122"/>
      <c r="F1" s="125" t="s">
        <v>119</v>
      </c>
      <c r="G1" s="126"/>
      <c r="H1" s="121" t="s">
        <v>125</v>
      </c>
      <c r="I1" s="122"/>
      <c r="J1" s="121" t="s">
        <v>126</v>
      </c>
      <c r="K1" s="122"/>
      <c r="L1" s="121" t="s">
        <v>127</v>
      </c>
      <c r="M1" s="122"/>
      <c r="N1" s="121" t="s">
        <v>128</v>
      </c>
      <c r="O1" s="122"/>
      <c r="P1" s="121" t="s">
        <v>130</v>
      </c>
      <c r="Q1" s="122"/>
      <c r="R1" s="130" t="s">
        <v>135</v>
      </c>
      <c r="S1" s="131"/>
      <c r="T1" s="121" t="s">
        <v>129</v>
      </c>
      <c r="U1" s="122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113" t="s">
        <v>112</v>
      </c>
      <c r="S2" s="114" t="s">
        <v>113</v>
      </c>
      <c r="T2" s="5" t="s">
        <v>112</v>
      </c>
      <c r="U2" s="6" t="s">
        <v>113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8">
        <v>28</v>
      </c>
      <c r="S3" s="108">
        <v>28</v>
      </c>
      <c r="T3" s="108">
        <v>28</v>
      </c>
      <c r="U3" s="108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8">
        <v>100</v>
      </c>
      <c r="S4" s="108">
        <v>100</v>
      </c>
      <c r="T4" s="108">
        <v>100</v>
      </c>
      <c r="U4" s="108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</row>
    <row r="8" spans="1:21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110">
        <v>0.1</v>
      </c>
      <c r="S8" s="110">
        <v>0.1</v>
      </c>
      <c r="T8" s="110">
        <v>0.1</v>
      </c>
      <c r="U8" s="110">
        <v>0.1</v>
      </c>
    </row>
    <row r="9" spans="1:21" ht="28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7" t="s">
        <v>22</v>
      </c>
      <c r="S9" s="107" t="s">
        <v>22</v>
      </c>
      <c r="T9" s="107" t="s">
        <v>22</v>
      </c>
      <c r="U9" s="107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8">
        <v>3</v>
      </c>
      <c r="S10" s="108">
        <v>3</v>
      </c>
      <c r="T10" s="108">
        <v>3</v>
      </c>
      <c r="U10" s="108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09"/>
      <c r="S11" s="109"/>
      <c r="T11" s="109"/>
      <c r="U11" s="109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8">
        <v>4</v>
      </c>
      <c r="S12" s="108">
        <v>4</v>
      </c>
      <c r="T12" s="108">
        <v>4</v>
      </c>
      <c r="U12" s="108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8">
        <v>2</v>
      </c>
      <c r="S13" s="108">
        <v>2</v>
      </c>
      <c r="T13" s="108">
        <v>2</v>
      </c>
      <c r="U13" s="108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108">
        <v>1</v>
      </c>
      <c r="S14" s="108">
        <v>1</v>
      </c>
      <c r="T14" s="108">
        <v>1</v>
      </c>
      <c r="U14" s="108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8" t="s">
        <v>16</v>
      </c>
      <c r="S15" s="108" t="s">
        <v>16</v>
      </c>
      <c r="T15" s="108" t="s">
        <v>16</v>
      </c>
      <c r="U15" s="108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7">
        <v>23</v>
      </c>
      <c r="S16" s="107">
        <v>23</v>
      </c>
      <c r="T16" s="107">
        <v>23</v>
      </c>
      <c r="U16" s="107">
        <v>23</v>
      </c>
    </row>
    <row r="17" spans="1:21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ref="N17:S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108">
        <f t="shared" si="2"/>
        <v>23</v>
      </c>
      <c r="S17" s="108">
        <f t="shared" si="2"/>
        <v>23</v>
      </c>
      <c r="T17" s="108">
        <f>T16</f>
        <v>23</v>
      </c>
      <c r="U17" s="108">
        <f>U16</f>
        <v>23</v>
      </c>
    </row>
    <row r="18" spans="1:21" ht="42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6.0205999132796251</v>
      </c>
      <c r="I18" s="13">
        <f t="shared" si="4"/>
        <v>6.0205999132796251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 t="shared" ref="N18:S18" si="5">N19+10*LOG10(N12/N14)-N20</f>
        <v>6.0205999132796251</v>
      </c>
      <c r="O18" s="8">
        <f t="shared" si="5"/>
        <v>6.0205999132796251</v>
      </c>
      <c r="P18" s="8">
        <f t="shared" si="5"/>
        <v>11.020599913279625</v>
      </c>
      <c r="Q18" s="8">
        <f t="shared" si="5"/>
        <v>11.020599913279625</v>
      </c>
      <c r="R18" s="108">
        <f t="shared" si="5"/>
        <v>11.020599913279625</v>
      </c>
      <c r="S18" s="108">
        <f t="shared" si="5"/>
        <v>11.020599913279625</v>
      </c>
      <c r="T18" s="108">
        <f>T19+10*LOG10(T12/T14)-T20</f>
        <v>11.020599913279625</v>
      </c>
      <c r="U18" s="108">
        <f>U19+10*LOG10(U12/U14)-U20</f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8">
        <v>5</v>
      </c>
      <c r="S19" s="108">
        <v>5</v>
      </c>
      <c r="T19" s="108">
        <v>5</v>
      </c>
      <c r="U19" s="108">
        <v>5</v>
      </c>
    </row>
    <row r="20" spans="1:21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107">
        <v>0</v>
      </c>
      <c r="S20" s="107">
        <v>0</v>
      </c>
      <c r="T20" s="107">
        <v>0</v>
      </c>
      <c r="U20" s="107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108">
        <v>0</v>
      </c>
      <c r="S21" s="108">
        <v>0</v>
      </c>
      <c r="T21" s="108">
        <v>0</v>
      </c>
      <c r="U21" s="10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8">
        <v>0</v>
      </c>
      <c r="S22" s="108">
        <v>0</v>
      </c>
      <c r="T22" s="108">
        <v>0</v>
      </c>
      <c r="U22" s="10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8">
        <v>0</v>
      </c>
      <c r="S23" s="108">
        <v>0</v>
      </c>
      <c r="T23" s="108">
        <v>0</v>
      </c>
      <c r="U23" s="108">
        <v>0</v>
      </c>
    </row>
    <row r="24" spans="1:2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8">
        <v>1</v>
      </c>
      <c r="S24" s="108">
        <v>1</v>
      </c>
      <c r="T24" s="108">
        <v>1</v>
      </c>
      <c r="U24" s="108">
        <v>1</v>
      </c>
    </row>
    <row r="25" spans="1:21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</row>
    <row r="26" spans="1:21">
      <c r="A26" s="7" t="s">
        <v>51</v>
      </c>
      <c r="B26" s="8">
        <f t="shared" ref="B26:G26" si="6">B17+B18+B21-B23-B24</f>
        <v>22.020599913279625</v>
      </c>
      <c r="C26" s="8">
        <f t="shared" si="6"/>
        <v>22.020599913279625</v>
      </c>
      <c r="D26" s="8">
        <f t="shared" si="6"/>
        <v>33.020599913279625</v>
      </c>
      <c r="E26" s="8">
        <f t="shared" si="6"/>
        <v>33.020599913279625</v>
      </c>
      <c r="F26" s="69">
        <f t="shared" si="6"/>
        <v>33.020599913279625</v>
      </c>
      <c r="G26" s="69">
        <f t="shared" si="6"/>
        <v>33.020599913279625</v>
      </c>
      <c r="H26" s="18">
        <f t="shared" ref="H26:M26" si="7">H17+H18+H21-H23-H24</f>
        <v>17.020599913279625</v>
      </c>
      <c r="I26" s="18">
        <f t="shared" si="7"/>
        <v>17.020599913279625</v>
      </c>
      <c r="J26" s="8">
        <f t="shared" si="7"/>
        <v>33.020599913279625</v>
      </c>
      <c r="K26" s="8">
        <f t="shared" si="7"/>
        <v>33.020599913279625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S26" si="8">N17+N18+N21-N23-N24</f>
        <v>28.020599913279625</v>
      </c>
      <c r="O26" s="8">
        <f t="shared" si="8"/>
        <v>28.020599913279625</v>
      </c>
      <c r="P26" s="8">
        <f t="shared" si="8"/>
        <v>33.020599913279625</v>
      </c>
      <c r="Q26" s="8">
        <f t="shared" si="8"/>
        <v>33.020599913279625</v>
      </c>
      <c r="R26" s="108">
        <f t="shared" si="8"/>
        <v>33.020599913279625</v>
      </c>
      <c r="S26" s="108">
        <f t="shared" si="8"/>
        <v>33.020599913279625</v>
      </c>
      <c r="T26" s="108">
        <f>T17+T18+T21-T23-T24</f>
        <v>33.020599913279625</v>
      </c>
      <c r="U26" s="108">
        <f>U17+U18+U21-U23-U24</f>
        <v>33.020599913279625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09"/>
      <c r="S27" s="109"/>
      <c r="T27" s="109"/>
      <c r="U27" s="109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108">
        <v>128</v>
      </c>
      <c r="S28" s="108">
        <v>128</v>
      </c>
      <c r="T28" s="108">
        <v>128</v>
      </c>
      <c r="U28" s="108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108">
        <v>2</v>
      </c>
      <c r="S29" s="108">
        <v>2</v>
      </c>
      <c r="T29" s="108">
        <v>2</v>
      </c>
      <c r="U29" s="108">
        <v>2</v>
      </c>
    </row>
    <row r="30" spans="1:21" ht="42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19.891799739838874</v>
      </c>
      <c r="E30" s="15">
        <f t="shared" si="9"/>
        <v>19.891799739838874</v>
      </c>
      <c r="F30" s="73">
        <f t="shared" si="9"/>
        <v>26.061799739838872</v>
      </c>
      <c r="G30" s="73">
        <f t="shared" si="9"/>
        <v>26.061799739838872</v>
      </c>
      <c r="H30" s="13">
        <f t="shared" ref="H30:M30" si="10">H31+10*LOG10(H28/H13)-H32</f>
        <v>26.061799739838872</v>
      </c>
      <c r="I30" s="13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 t="shared" ref="N30:S30" si="11">N31+10*LOG10(N28/N13)-N32</f>
        <v>17.061799739838872</v>
      </c>
      <c r="O30" s="8">
        <f t="shared" si="11"/>
        <v>17.061799739838872</v>
      </c>
      <c r="P30" s="8">
        <f t="shared" si="11"/>
        <v>20.061799739838872</v>
      </c>
      <c r="Q30" s="8">
        <f t="shared" si="11"/>
        <v>20.061799739838872</v>
      </c>
      <c r="R30" s="108">
        <f t="shared" si="11"/>
        <v>16.261799739838871</v>
      </c>
      <c r="S30" s="108">
        <f t="shared" si="11"/>
        <v>16.261799739838871</v>
      </c>
      <c r="T30" s="108">
        <f>T31+10*LOG10(T28/T13)-T32</f>
        <v>26.061799739838872</v>
      </c>
      <c r="U30" s="108">
        <f>U31+10*LOG10(U28/U13)-U32</f>
        <v>26.061799739838872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8">
        <v>8</v>
      </c>
      <c r="S31" s="108">
        <v>8</v>
      </c>
      <c r="T31" s="108">
        <v>8</v>
      </c>
      <c r="U31" s="108">
        <v>8</v>
      </c>
    </row>
    <row r="32" spans="1:21" ht="42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  <c r="R32" s="107">
        <v>9.8000000000000007</v>
      </c>
      <c r="S32" s="107">
        <v>9.8000000000000007</v>
      </c>
      <c r="T32" s="107">
        <v>0</v>
      </c>
      <c r="U32" s="107">
        <v>0</v>
      </c>
    </row>
    <row r="33" spans="1:21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7">
        <v>0</v>
      </c>
      <c r="S33" s="107">
        <v>0</v>
      </c>
      <c r="T33" s="107">
        <v>0</v>
      </c>
      <c r="U33" s="107">
        <v>0</v>
      </c>
    </row>
    <row r="34" spans="1:21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8">
        <v>3</v>
      </c>
      <c r="S34" s="108">
        <v>3</v>
      </c>
      <c r="T34" s="108">
        <v>3</v>
      </c>
      <c r="U34" s="108">
        <v>3</v>
      </c>
    </row>
    <row r="35" spans="1:21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8">
        <v>5</v>
      </c>
      <c r="S35" s="108">
        <v>5</v>
      </c>
      <c r="T35" s="108">
        <v>5</v>
      </c>
      <c r="U35" s="108">
        <v>5</v>
      </c>
    </row>
    <row r="36" spans="1:21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  <c r="R36" s="108">
        <v>-174</v>
      </c>
      <c r="S36" s="108">
        <v>-174</v>
      </c>
      <c r="T36" s="108">
        <v>-174</v>
      </c>
      <c r="U36" s="108">
        <v>-174</v>
      </c>
    </row>
    <row r="37" spans="1:21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8" t="s">
        <v>16</v>
      </c>
      <c r="S37" s="108" t="s">
        <v>16</v>
      </c>
      <c r="T37" s="108" t="s">
        <v>16</v>
      </c>
      <c r="U37" s="108" t="s">
        <v>16</v>
      </c>
    </row>
    <row r="38" spans="1:21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7">
        <v>-999</v>
      </c>
      <c r="S38" s="107">
        <v>-999</v>
      </c>
      <c r="T38" s="107">
        <v>-999</v>
      </c>
      <c r="U38" s="107">
        <v>-999</v>
      </c>
    </row>
    <row r="39" spans="1:21" ht="28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</row>
    <row r="40" spans="1:21" ht="28">
      <c r="A40" s="7" t="s">
        <v>109</v>
      </c>
      <c r="B40" s="15">
        <f t="shared" ref="B40:G40" si="12">10*LOG10(10^((B35+B36)/10)+10^(B38/10))</f>
        <v>-169.00000000000003</v>
      </c>
      <c r="C40" s="15">
        <f t="shared" si="12"/>
        <v>-169.00000000000003</v>
      </c>
      <c r="D40" s="15">
        <f t="shared" si="12"/>
        <v>-167.00000000000003</v>
      </c>
      <c r="E40" s="15">
        <f t="shared" si="12"/>
        <v>-167.00000000000003</v>
      </c>
      <c r="F40" s="73">
        <f t="shared" si="12"/>
        <v>-169.00000000000003</v>
      </c>
      <c r="G40" s="73">
        <f t="shared" si="12"/>
        <v>-169.00000000000003</v>
      </c>
      <c r="H40" s="13">
        <f t="shared" ref="H40:M40" si="13">10*LOG10(10^((H35+H36)/10)+10^(H38/10))</f>
        <v>-166.34726225295711</v>
      </c>
      <c r="I40" s="13">
        <f t="shared" si="13"/>
        <v>-166.34726225295711</v>
      </c>
      <c r="J40" s="8">
        <f t="shared" si="13"/>
        <v>-168.00651048203736</v>
      </c>
      <c r="K40" s="8">
        <f t="shared" si="13"/>
        <v>-168.00651048203736</v>
      </c>
      <c r="L40" s="15">
        <f t="shared" si="13"/>
        <v>-169.00000000000003</v>
      </c>
      <c r="M40" s="15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-169.00000000000003</v>
      </c>
      <c r="Q40" s="8">
        <f t="shared" si="14"/>
        <v>-169.00000000000003</v>
      </c>
      <c r="R40" s="108">
        <f t="shared" si="14"/>
        <v>-169.00000000000003</v>
      </c>
      <c r="S40" s="108">
        <f t="shared" si="14"/>
        <v>-169.00000000000003</v>
      </c>
      <c r="T40" s="108">
        <f>10*LOG10(10^((T35+T36)/10)+10^(T38/10))</f>
        <v>-169.00000000000003</v>
      </c>
      <c r="U40" s="108">
        <f>10*LOG10(10^((U35+U36)/10)+10^(U38/10))</f>
        <v>-169.00000000000003</v>
      </c>
    </row>
    <row r="41" spans="1:21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8" t="s">
        <v>16</v>
      </c>
      <c r="S41" s="108" t="s">
        <v>16</v>
      </c>
      <c r="T41" s="108" t="s">
        <v>16</v>
      </c>
      <c r="U41" s="108" t="s">
        <v>16</v>
      </c>
    </row>
    <row r="42" spans="1:21">
      <c r="A42" s="24" t="s">
        <v>70</v>
      </c>
      <c r="B42" s="15">
        <f t="shared" ref="B42:G42" si="15">2*12*120*1000</f>
        <v>2880000</v>
      </c>
      <c r="C42" s="15">
        <f t="shared" si="15"/>
        <v>2880000</v>
      </c>
      <c r="D42" s="15">
        <f t="shared" si="15"/>
        <v>2880000</v>
      </c>
      <c r="E42" s="15">
        <f t="shared" si="15"/>
        <v>2880000</v>
      </c>
      <c r="F42" s="73">
        <f t="shared" si="15"/>
        <v>2880000</v>
      </c>
      <c r="G42" s="73">
        <f t="shared" si="15"/>
        <v>2880000</v>
      </c>
      <c r="H42" s="96">
        <f t="shared" ref="H42:M42" si="16">2*12*120*1000</f>
        <v>2880000</v>
      </c>
      <c r="I42" s="96">
        <f t="shared" si="16"/>
        <v>2880000</v>
      </c>
      <c r="J42" s="8">
        <f t="shared" si="16"/>
        <v>2880000</v>
      </c>
      <c r="K42" s="8">
        <f t="shared" si="16"/>
        <v>2880000</v>
      </c>
      <c r="L42" s="15">
        <f t="shared" si="16"/>
        <v>2880000</v>
      </c>
      <c r="M42" s="15">
        <f t="shared" si="16"/>
        <v>2880000</v>
      </c>
      <c r="N42" s="88">
        <f>2*12*120*1000</f>
        <v>2880000</v>
      </c>
      <c r="O42" s="88">
        <f>2*12*120*1000</f>
        <v>2880000</v>
      </c>
      <c r="P42" s="105">
        <f>4*12*120*1000</f>
        <v>5760000</v>
      </c>
      <c r="Q42" s="105">
        <f>4*12*120*1000</f>
        <v>5760000</v>
      </c>
      <c r="R42" s="111">
        <f>2*12*120*1000</f>
        <v>2880000</v>
      </c>
      <c r="S42" s="111">
        <f>2*12*120*1000</f>
        <v>2880000</v>
      </c>
      <c r="T42" s="111">
        <f>2*12*120*1000</f>
        <v>2880000</v>
      </c>
      <c r="U42" s="111">
        <f>2*12*120*1000</f>
        <v>2880000</v>
      </c>
    </row>
    <row r="43" spans="1:21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</row>
    <row r="44" spans="1:21">
      <c r="A44" s="7" t="s">
        <v>72</v>
      </c>
      <c r="B44" s="15">
        <f t="shared" ref="B44:G44" si="17">B40+10*LOG10(B42)</f>
        <v>-104.40607512240773</v>
      </c>
      <c r="C44" s="15">
        <f t="shared" si="17"/>
        <v>-104.40607512240773</v>
      </c>
      <c r="D44" s="15">
        <f t="shared" si="17"/>
        <v>-102.40607512240773</v>
      </c>
      <c r="E44" s="15">
        <f t="shared" si="17"/>
        <v>-102.40607512240773</v>
      </c>
      <c r="F44" s="73">
        <f t="shared" si="17"/>
        <v>-104.40607512240773</v>
      </c>
      <c r="G44" s="73">
        <f t="shared" si="17"/>
        <v>-104.40607512240773</v>
      </c>
      <c r="H44" s="13">
        <f t="shared" ref="H44:M44" si="18">H40+10*LOG10(H42)</f>
        <v>-101.75333737536481</v>
      </c>
      <c r="I44" s="13">
        <f t="shared" si="18"/>
        <v>-101.75333737536481</v>
      </c>
      <c r="J44" s="8">
        <f t="shared" si="18"/>
        <v>-103.41258560444506</v>
      </c>
      <c r="K44" s="8">
        <f t="shared" si="18"/>
        <v>-103.41258560444506</v>
      </c>
      <c r="L44" s="15">
        <f t="shared" si="18"/>
        <v>-104.40607512240773</v>
      </c>
      <c r="M44" s="15">
        <f t="shared" si="18"/>
        <v>-104.40607512240773</v>
      </c>
      <c r="N44" s="8">
        <f t="shared" ref="N44:S44" si="19">N40+10*LOG10(N42)</f>
        <v>-104.40607512240773</v>
      </c>
      <c r="O44" s="8">
        <f t="shared" si="19"/>
        <v>-104.40607512240773</v>
      </c>
      <c r="P44" s="8">
        <f t="shared" si="19"/>
        <v>-101.39577516576792</v>
      </c>
      <c r="Q44" s="8">
        <f t="shared" si="19"/>
        <v>-101.39577516576792</v>
      </c>
      <c r="R44" s="108">
        <f t="shared" si="19"/>
        <v>-104.40607512240773</v>
      </c>
      <c r="S44" s="108">
        <f t="shared" si="19"/>
        <v>-104.40607512240773</v>
      </c>
      <c r="T44" s="108">
        <f>T40+10*LOG10(T42)</f>
        <v>-104.40607512240773</v>
      </c>
      <c r="U44" s="108">
        <f>U40+10*LOG10(U42)</f>
        <v>-104.40607512240773</v>
      </c>
    </row>
    <row r="45" spans="1:21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8" t="s">
        <v>16</v>
      </c>
      <c r="S45" s="108" t="s">
        <v>16</v>
      </c>
      <c r="T45" s="108" t="s">
        <v>16</v>
      </c>
      <c r="U45" s="108" t="s">
        <v>16</v>
      </c>
    </row>
    <row r="46" spans="1:21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  <c r="R46" s="111">
        <v>-2.1800000000000002</v>
      </c>
      <c r="S46" s="111">
        <v>-2.1800000000000002</v>
      </c>
      <c r="T46" s="111">
        <v>-0.86</v>
      </c>
      <c r="U46" s="111">
        <v>-0.86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8">
        <v>2</v>
      </c>
      <c r="S47" s="108">
        <v>2</v>
      </c>
      <c r="T47" s="108">
        <v>2</v>
      </c>
      <c r="U47" s="108">
        <v>2</v>
      </c>
    </row>
    <row r="48" spans="1:21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8" t="s">
        <v>16</v>
      </c>
      <c r="S48" s="108" t="s">
        <v>16</v>
      </c>
      <c r="T48" s="108" t="s">
        <v>16</v>
      </c>
      <c r="U48" s="10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8">
        <v>0</v>
      </c>
      <c r="S49" s="108">
        <v>0</v>
      </c>
      <c r="T49" s="108">
        <v>0</v>
      </c>
      <c r="U49" s="108">
        <v>0</v>
      </c>
    </row>
    <row r="50" spans="1:21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</row>
    <row r="51" spans="1:21" ht="28">
      <c r="A51" s="7" t="s">
        <v>82</v>
      </c>
      <c r="B51" s="15">
        <f t="shared" ref="B51:G51" si="20">B44+B46+B47-B49</f>
        <v>-104.30607512240773</v>
      </c>
      <c r="C51" s="15">
        <f t="shared" si="20"/>
        <v>-104.30607512240773</v>
      </c>
      <c r="D51" s="15">
        <f t="shared" si="20"/>
        <v>-102.41607512240773</v>
      </c>
      <c r="E51" s="15">
        <f t="shared" si="20"/>
        <v>-102.41607512240773</v>
      </c>
      <c r="F51" s="73">
        <f t="shared" si="20"/>
        <v>-104.15607512240773</v>
      </c>
      <c r="G51" s="73">
        <f t="shared" si="20"/>
        <v>-104.15607512240773</v>
      </c>
      <c r="H51" s="13">
        <f t="shared" ref="H51:M51" si="21">H44+H46+H47-H49</f>
        <v>-102.73333737536481</v>
      </c>
      <c r="I51" s="13">
        <f t="shared" si="21"/>
        <v>-102.73333737536481</v>
      </c>
      <c r="J51" s="8">
        <f t="shared" si="21"/>
        <v>-97.03258560444506</v>
      </c>
      <c r="K51" s="8">
        <f t="shared" si="21"/>
        <v>-97.03258560444506</v>
      </c>
      <c r="L51" s="15">
        <f t="shared" si="21"/>
        <v>-104.18607512240773</v>
      </c>
      <c r="M51" s="15">
        <f t="shared" si="21"/>
        <v>-104.18607512240773</v>
      </c>
      <c r="N51" s="8">
        <f t="shared" ref="N51:S51" si="22">N44+N46+N47-N49</f>
        <v>-104.20607512240773</v>
      </c>
      <c r="O51" s="8">
        <f t="shared" si="22"/>
        <v>-104.20607512240773</v>
      </c>
      <c r="P51" s="8">
        <f t="shared" si="22"/>
        <v>-97.322375165767909</v>
      </c>
      <c r="Q51" s="8">
        <f t="shared" si="22"/>
        <v>-97.322375165767909</v>
      </c>
      <c r="R51" s="108">
        <f t="shared" si="22"/>
        <v>-104.58607512240773</v>
      </c>
      <c r="S51" s="108">
        <f t="shared" si="22"/>
        <v>-104.58607512240773</v>
      </c>
      <c r="T51" s="108">
        <f>T44+T46+T47-T49</f>
        <v>-103.26607512240773</v>
      </c>
      <c r="U51" s="108">
        <f>U44+U46+U47-U49</f>
        <v>-103.26607512240773</v>
      </c>
    </row>
    <row r="52" spans="1:21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5" t="s">
        <v>16</v>
      </c>
      <c r="S52" s="115" t="s">
        <v>16</v>
      </c>
      <c r="T52" s="115" t="s">
        <v>16</v>
      </c>
      <c r="U52" s="115" t="s">
        <v>16</v>
      </c>
    </row>
    <row r="53" spans="1:21" ht="28">
      <c r="A53" s="26" t="s">
        <v>85</v>
      </c>
      <c r="B53" s="39">
        <f t="shared" ref="B53:G53" si="23">B26+B30+B33-B34-B51</f>
        <v>149.38847477552622</v>
      </c>
      <c r="C53" s="39">
        <f t="shared" si="23"/>
        <v>149.38847477552622</v>
      </c>
      <c r="D53" s="39">
        <f t="shared" si="23"/>
        <v>152.32847477552622</v>
      </c>
      <c r="E53" s="39">
        <f t="shared" si="23"/>
        <v>152.32847477552622</v>
      </c>
      <c r="F53" s="76">
        <f t="shared" si="23"/>
        <v>160.23847477552624</v>
      </c>
      <c r="G53" s="76">
        <f t="shared" si="23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U53" si="24">J26+J30+J33-J34-J51</f>
        <v>153.11498525756355</v>
      </c>
      <c r="K53" s="39">
        <f t="shared" si="24"/>
        <v>153.11498525756355</v>
      </c>
      <c r="L53" s="39">
        <f t="shared" si="24"/>
        <v>160.26847477552622</v>
      </c>
      <c r="M53" s="39">
        <f t="shared" si="24"/>
        <v>160.26847477552622</v>
      </c>
      <c r="N53" s="39">
        <f t="shared" si="24"/>
        <v>146.28847477552623</v>
      </c>
      <c r="O53" s="39">
        <f t="shared" si="24"/>
        <v>146.28847477552623</v>
      </c>
      <c r="P53" s="39">
        <f t="shared" si="24"/>
        <v>147.40477481888641</v>
      </c>
      <c r="Q53" s="39">
        <f t="shared" si="24"/>
        <v>147.40477481888641</v>
      </c>
      <c r="R53" s="112">
        <f t="shared" si="24"/>
        <v>150.86847477552624</v>
      </c>
      <c r="S53" s="112">
        <f t="shared" si="24"/>
        <v>150.86847477552624</v>
      </c>
      <c r="T53" s="112">
        <f t="shared" si="24"/>
        <v>159.34847477552623</v>
      </c>
      <c r="U53" s="112">
        <f t="shared" si="24"/>
        <v>159.34847477552623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  <c r="R54" s="109"/>
      <c r="S54" s="109"/>
      <c r="T54" s="109"/>
      <c r="U54" s="109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7">
        <v>0</v>
      </c>
      <c r="S55" s="107">
        <v>0</v>
      </c>
      <c r="T55" s="107">
        <v>0</v>
      </c>
      <c r="U55" s="107">
        <v>0</v>
      </c>
    </row>
    <row r="56" spans="1:21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</row>
    <row r="57" spans="1:21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7">
        <v>0</v>
      </c>
      <c r="S57" s="107">
        <v>0</v>
      </c>
      <c r="T57" s="107">
        <v>0</v>
      </c>
      <c r="U57" s="107">
        <v>0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7">
        <v>0</v>
      </c>
      <c r="S58" s="107">
        <v>0</v>
      </c>
      <c r="T58" s="107">
        <v>0</v>
      </c>
      <c r="U58" s="107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7">
        <v>0</v>
      </c>
      <c r="S59" s="107">
        <v>0</v>
      </c>
      <c r="T59" s="107">
        <v>0</v>
      </c>
      <c r="U59" s="107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7">
        <v>0</v>
      </c>
      <c r="S60" s="107">
        <v>0</v>
      </c>
      <c r="T60" s="107">
        <v>0</v>
      </c>
      <c r="U60" s="107">
        <v>0</v>
      </c>
    </row>
    <row r="61" spans="1:21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5" t="s">
        <v>16</v>
      </c>
      <c r="S61" s="115" t="s">
        <v>16</v>
      </c>
      <c r="T61" s="115" t="s">
        <v>16</v>
      </c>
      <c r="U61" s="115" t="s">
        <v>16</v>
      </c>
    </row>
    <row r="62" spans="1:21" ht="28">
      <c r="A62" s="26" t="s">
        <v>111</v>
      </c>
      <c r="B62" s="39">
        <f t="shared" ref="B62:G62" si="25">B53-B57+B58-B59+B60</f>
        <v>149.38847477552622</v>
      </c>
      <c r="C62" s="39">
        <f t="shared" si="25"/>
        <v>149.38847477552622</v>
      </c>
      <c r="D62" s="39">
        <f t="shared" si="25"/>
        <v>152.32847477552622</v>
      </c>
      <c r="E62" s="39">
        <f t="shared" si="25"/>
        <v>152.32847477552622</v>
      </c>
      <c r="F62" s="76">
        <f t="shared" si="25"/>
        <v>160.23847477552624</v>
      </c>
      <c r="G62" s="76">
        <f t="shared" si="25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U62" si="26">J53-J57+J58-J59+J60</f>
        <v>147.93498525756354</v>
      </c>
      <c r="K62" s="39">
        <f t="shared" si="26"/>
        <v>147.93498525756354</v>
      </c>
      <c r="L62" s="39">
        <f t="shared" si="26"/>
        <v>160.26847477552622</v>
      </c>
      <c r="M62" s="39">
        <f t="shared" si="26"/>
        <v>160.26847477552622</v>
      </c>
      <c r="N62" s="39">
        <f t="shared" si="26"/>
        <v>146.28847477552623</v>
      </c>
      <c r="O62" s="39">
        <f t="shared" si="26"/>
        <v>146.28847477552623</v>
      </c>
      <c r="P62" s="39">
        <f t="shared" si="26"/>
        <v>147.40477481888641</v>
      </c>
      <c r="Q62" s="39">
        <f t="shared" si="26"/>
        <v>147.40477481888641</v>
      </c>
      <c r="R62" s="112">
        <f t="shared" si="26"/>
        <v>150.86847477552624</v>
      </c>
      <c r="S62" s="112">
        <f t="shared" si="26"/>
        <v>150.86847477552624</v>
      </c>
      <c r="T62" s="112">
        <f t="shared" si="26"/>
        <v>159.34847477552623</v>
      </c>
      <c r="U62" s="112">
        <f t="shared" si="26"/>
        <v>159.34847477552623</v>
      </c>
    </row>
    <row r="63" spans="1:21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  <c r="R63" s="102"/>
      <c r="S63" s="102"/>
      <c r="T63" s="48"/>
      <c r="U63" s="48"/>
    </row>
    <row r="64" spans="1:21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15" t="s">
        <v>16</v>
      </c>
      <c r="S64" s="115" t="s">
        <v>16</v>
      </c>
      <c r="T64" s="103" t="s">
        <v>16</v>
      </c>
      <c r="U64" s="103" t="s">
        <v>16</v>
      </c>
    </row>
    <row r="65" spans="1:21">
      <c r="A65" s="26" t="s">
        <v>98</v>
      </c>
      <c r="B65" s="39">
        <f t="shared" ref="B65:G65" si="27">B17-B23-B51+B21+B33</f>
        <v>116.30607512240773</v>
      </c>
      <c r="C65" s="39">
        <f t="shared" si="27"/>
        <v>116.30607512240773</v>
      </c>
      <c r="D65" s="39">
        <f t="shared" si="27"/>
        <v>125.41607512240773</v>
      </c>
      <c r="E65" s="39">
        <f t="shared" si="27"/>
        <v>125.41607512240773</v>
      </c>
      <c r="F65" s="76">
        <f t="shared" si="27"/>
        <v>127.15607512240773</v>
      </c>
      <c r="G65" s="76">
        <f t="shared" si="27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U65" si="28">J17-J23-J51+J21+J33</f>
        <v>120.03258560444506</v>
      </c>
      <c r="K65" s="39">
        <f t="shared" si="28"/>
        <v>120.03258560444506</v>
      </c>
      <c r="L65" s="39">
        <f t="shared" si="28"/>
        <v>127.18607512240773</v>
      </c>
      <c r="M65" s="39">
        <f t="shared" si="28"/>
        <v>127.18607512240773</v>
      </c>
      <c r="N65" s="27">
        <f t="shared" si="28"/>
        <v>127.20607512240773</v>
      </c>
      <c r="O65" s="27">
        <f t="shared" si="28"/>
        <v>127.20607512240773</v>
      </c>
      <c r="P65" s="39">
        <f t="shared" si="28"/>
        <v>120.32237516576791</v>
      </c>
      <c r="Q65" s="39">
        <f t="shared" si="28"/>
        <v>120.32237516576791</v>
      </c>
      <c r="R65" s="112">
        <f t="shared" si="28"/>
        <v>127.58607512240773</v>
      </c>
      <c r="S65" s="112">
        <f t="shared" si="28"/>
        <v>127.58607512240773</v>
      </c>
      <c r="T65" s="27">
        <f t="shared" si="28"/>
        <v>126.26607512240773</v>
      </c>
      <c r="U65" s="27">
        <f t="shared" si="28"/>
        <v>126.26607512240773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6" activePane="bottomRight" state="frozen"/>
      <selection pane="topRight"/>
      <selection pane="bottomLeft"/>
      <selection pane="bottomRight" activeCell="L1" sqref="L1:M1"/>
    </sheetView>
  </sheetViews>
  <sheetFormatPr defaultColWidth="9" defaultRowHeight="15"/>
  <cols>
    <col min="1" max="1" width="62.1640625" style="1" customWidth="1"/>
    <col min="2" max="3" width="14.75" style="1" bestFit="1" customWidth="1"/>
    <col min="4" max="4" width="15.6640625" style="2" customWidth="1"/>
    <col min="5" max="7" width="15.6640625" style="1" customWidth="1"/>
    <col min="8" max="8" width="15.6640625" style="2" customWidth="1"/>
    <col min="9" max="11" width="15.6640625" style="1" customWidth="1"/>
    <col min="12" max="12" width="15.6640625" style="101" customWidth="1"/>
    <col min="13" max="13" width="15.6640625" style="106" customWidth="1"/>
    <col min="14" max="16384" width="9" style="1"/>
  </cols>
  <sheetData>
    <row r="1" spans="1:13" ht="14.25" customHeight="1">
      <c r="A1" s="3"/>
      <c r="B1" s="121" t="s">
        <v>125</v>
      </c>
      <c r="C1" s="122"/>
      <c r="D1" s="121" t="s">
        <v>128</v>
      </c>
      <c r="E1" s="122"/>
      <c r="F1" s="122"/>
      <c r="G1" s="123"/>
      <c r="H1" s="121" t="s">
        <v>130</v>
      </c>
      <c r="I1" s="122"/>
      <c r="J1" s="122"/>
      <c r="K1" s="123"/>
      <c r="L1" s="130" t="s">
        <v>135</v>
      </c>
      <c r="M1" s="131"/>
    </row>
    <row r="2" spans="1:13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4" t="s">
        <v>104</v>
      </c>
      <c r="J2" s="104" t="s">
        <v>105</v>
      </c>
      <c r="K2" s="104" t="s">
        <v>106</v>
      </c>
      <c r="L2" s="113" t="s">
        <v>103</v>
      </c>
      <c r="M2" s="114" t="s">
        <v>104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  <c r="L3" s="108">
        <v>28</v>
      </c>
      <c r="M3" s="108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108">
        <v>100</v>
      </c>
      <c r="M4" s="108">
        <v>100</v>
      </c>
    </row>
    <row r="5" spans="1:13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  <c r="L7" s="99" t="s">
        <v>16</v>
      </c>
      <c r="M7" s="99" t="s">
        <v>16</v>
      </c>
    </row>
    <row r="8" spans="1:13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  <c r="L8" s="110">
        <v>0.1</v>
      </c>
      <c r="M8" s="110">
        <v>0.1</v>
      </c>
    </row>
    <row r="9" spans="1:13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107" t="s">
        <v>22</v>
      </c>
      <c r="M9" s="107" t="s">
        <v>22</v>
      </c>
    </row>
    <row r="10" spans="1:13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  <c r="L10" s="108">
        <v>3</v>
      </c>
      <c r="M10" s="108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09"/>
      <c r="M11" s="109"/>
    </row>
    <row r="12" spans="1:13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  <c r="L12" s="108">
        <v>128</v>
      </c>
      <c r="M12" s="108">
        <v>128</v>
      </c>
    </row>
    <row r="13" spans="1:13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108">
        <v>2</v>
      </c>
      <c r="M13" s="108">
        <v>2</v>
      </c>
    </row>
    <row r="14" spans="1:13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108">
        <v>2</v>
      </c>
      <c r="M14" s="108">
        <v>2</v>
      </c>
    </row>
    <row r="15" spans="1:13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108">
        <v>3</v>
      </c>
      <c r="M15" s="108">
        <v>3</v>
      </c>
    </row>
    <row r="16" spans="1:13">
      <c r="A16" s="7" t="s">
        <v>33</v>
      </c>
      <c r="B16" s="15">
        <f t="shared" ref="B16:M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  <c r="L16" s="108">
        <f t="shared" si="0"/>
        <v>23</v>
      </c>
      <c r="M16" s="108">
        <f t="shared" si="0"/>
        <v>23</v>
      </c>
    </row>
    <row r="17" spans="1:13" ht="28">
      <c r="A17" s="7" t="s">
        <v>35</v>
      </c>
      <c r="B17" s="15">
        <f t="shared" ref="B17:M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  <c r="L17" s="108">
        <f t="shared" si="1"/>
        <v>20.60422483423212</v>
      </c>
      <c r="M17" s="108">
        <f t="shared" si="1"/>
        <v>20.60422483423212</v>
      </c>
    </row>
    <row r="18" spans="1:13" ht="42">
      <c r="A18" s="16" t="s">
        <v>37</v>
      </c>
      <c r="B18" s="15">
        <f t="shared" ref="B18:M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  <c r="L18" s="108">
        <f t="shared" si="2"/>
        <v>16.261799739838871</v>
      </c>
      <c r="M18" s="108">
        <f t="shared" si="2"/>
        <v>16.261799739838871</v>
      </c>
    </row>
    <row r="19" spans="1:13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108">
        <v>8</v>
      </c>
      <c r="M19" s="108">
        <v>8</v>
      </c>
    </row>
    <row r="20" spans="1:13" ht="42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  <c r="L20" s="107">
        <v>9.8000000000000007</v>
      </c>
      <c r="M20" s="107">
        <v>9.8000000000000007</v>
      </c>
    </row>
    <row r="21" spans="1:13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107">
        <v>0</v>
      </c>
      <c r="M21" s="107">
        <v>0</v>
      </c>
    </row>
    <row r="22" spans="1:13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08">
        <v>0</v>
      </c>
      <c r="M22" s="108">
        <v>0</v>
      </c>
    </row>
    <row r="23" spans="1:13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08">
        <v>0</v>
      </c>
      <c r="M23" s="108">
        <v>0</v>
      </c>
    </row>
    <row r="24" spans="1:13" ht="28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  <c r="L24" s="108">
        <v>3</v>
      </c>
      <c r="M24" s="108">
        <v>3</v>
      </c>
    </row>
    <row r="25" spans="1:13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  <c r="L25" s="99" t="s">
        <v>16</v>
      </c>
      <c r="M25" s="99" t="s">
        <v>16</v>
      </c>
    </row>
    <row r="26" spans="1:13">
      <c r="A26" s="7" t="s">
        <v>51</v>
      </c>
      <c r="B26" s="15">
        <f t="shared" ref="B26:M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  <c r="L26" s="108">
        <f t="shared" si="3"/>
        <v>33.866024574070991</v>
      </c>
      <c r="M26" s="108">
        <f t="shared" si="3"/>
        <v>33.866024574070991</v>
      </c>
    </row>
    <row r="27" spans="1:13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09"/>
      <c r="M27" s="109"/>
    </row>
    <row r="28" spans="1:13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  <c r="L28" s="108">
        <v>8</v>
      </c>
      <c r="M28" s="108">
        <v>4</v>
      </c>
    </row>
    <row r="29" spans="1:13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  <c r="L29" s="108">
        <v>2</v>
      </c>
      <c r="M29" s="108">
        <v>1</v>
      </c>
    </row>
    <row r="30" spans="1:13" ht="42">
      <c r="A30" s="7" t="s">
        <v>55</v>
      </c>
      <c r="B30" s="15">
        <f t="shared" ref="B30:M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  <c r="L30" s="108">
        <f t="shared" si="4"/>
        <v>11.020599913279625</v>
      </c>
      <c r="M30" s="108">
        <f t="shared" si="4"/>
        <v>11.020599913279625</v>
      </c>
    </row>
    <row r="31" spans="1:13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  <c r="L31" s="108">
        <v>5</v>
      </c>
      <c r="M31" s="108">
        <v>5</v>
      </c>
    </row>
    <row r="32" spans="1:13" ht="42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  <c r="L32" s="107">
        <v>0</v>
      </c>
      <c r="M32" s="107">
        <v>0</v>
      </c>
    </row>
    <row r="33" spans="1:13" ht="28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08">
        <v>0</v>
      </c>
      <c r="M33" s="108">
        <v>0</v>
      </c>
    </row>
    <row r="34" spans="1:13" ht="28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108">
        <v>1</v>
      </c>
      <c r="M34" s="108">
        <v>1</v>
      </c>
    </row>
    <row r="35" spans="1:13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  <c r="L35" s="108">
        <v>7</v>
      </c>
      <c r="M35" s="108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108">
        <v>-174</v>
      </c>
      <c r="M36" s="108">
        <v>-174</v>
      </c>
    </row>
    <row r="37" spans="1:13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108" t="s">
        <v>16</v>
      </c>
      <c r="M37" s="108" t="s">
        <v>16</v>
      </c>
    </row>
    <row r="38" spans="1:13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  <c r="L38" s="107">
        <v>-999</v>
      </c>
      <c r="M38" s="107">
        <v>-999</v>
      </c>
    </row>
    <row r="39" spans="1:13" ht="28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  <c r="L39" s="99" t="s">
        <v>16</v>
      </c>
      <c r="M39" s="99" t="s">
        <v>16</v>
      </c>
    </row>
    <row r="40" spans="1:13" ht="28">
      <c r="A40" s="7" t="s">
        <v>109</v>
      </c>
      <c r="B40" s="15">
        <f t="shared" ref="B40:M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  <c r="L40" s="108">
        <f t="shared" si="5"/>
        <v>-167.00000000000003</v>
      </c>
      <c r="M40" s="108">
        <f t="shared" si="5"/>
        <v>-167.00000000000003</v>
      </c>
    </row>
    <row r="41" spans="1:13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108" t="s">
        <v>16</v>
      </c>
      <c r="M41" s="108" t="s">
        <v>16</v>
      </c>
    </row>
    <row r="42" spans="1:13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  <c r="L42" s="111">
        <f>20*12*240*1000</f>
        <v>57600000</v>
      </c>
      <c r="M42" s="111">
        <f t="shared" ref="M42" si="7">20*12*240*1000</f>
        <v>57600000</v>
      </c>
    </row>
    <row r="43" spans="1:13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108" t="s">
        <v>16</v>
      </c>
      <c r="M43" s="108" t="s">
        <v>16</v>
      </c>
    </row>
    <row r="44" spans="1:13">
      <c r="A44" s="7" t="s">
        <v>72</v>
      </c>
      <c r="B44" s="15">
        <f t="shared" ref="B44:M44" si="8">B40+10*LOG10(B42)</f>
        <v>-85.981848314185626</v>
      </c>
      <c r="C44" s="15">
        <f t="shared" si="8"/>
        <v>-85.981848314185626</v>
      </c>
      <c r="D44" s="8">
        <f t="shared" si="8"/>
        <v>-89.395775165767915</v>
      </c>
      <c r="E44" s="8">
        <f t="shared" si="8"/>
        <v>-89.395775165767915</v>
      </c>
      <c r="F44" s="8">
        <f t="shared" si="8"/>
        <v>-89.395775165767915</v>
      </c>
      <c r="G44" s="8">
        <f t="shared" si="8"/>
        <v>-89.395775165767915</v>
      </c>
      <c r="H44" s="8">
        <f t="shared" si="8"/>
        <v>-92.406075122407728</v>
      </c>
      <c r="I44" s="8">
        <f t="shared" si="8"/>
        <v>-92.406075122407728</v>
      </c>
      <c r="J44" s="8">
        <f t="shared" si="8"/>
        <v>-92.406075122407728</v>
      </c>
      <c r="K44" s="8">
        <f t="shared" si="8"/>
        <v>-92.406075122407728</v>
      </c>
      <c r="L44" s="108">
        <f t="shared" si="8"/>
        <v>-89.395775165767915</v>
      </c>
      <c r="M44" s="108">
        <f t="shared" si="8"/>
        <v>-89.395775165767915</v>
      </c>
    </row>
    <row r="45" spans="1:13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  <c r="L45" s="108" t="s">
        <v>16</v>
      </c>
      <c r="M45" s="108" t="s">
        <v>16</v>
      </c>
    </row>
    <row r="46" spans="1:13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  <c r="L46" s="111">
        <v>-11.06</v>
      </c>
      <c r="M46" s="111">
        <v>-6.48</v>
      </c>
    </row>
    <row r="47" spans="1:13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108">
        <v>2</v>
      </c>
      <c r="M47" s="108">
        <v>2</v>
      </c>
    </row>
    <row r="48" spans="1:13" ht="28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108" t="s">
        <v>16</v>
      </c>
      <c r="M48" s="10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08">
        <v>0</v>
      </c>
      <c r="M49" s="108">
        <v>0</v>
      </c>
    </row>
    <row r="50" spans="1:13" ht="28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  <c r="L50" s="99" t="s">
        <v>16</v>
      </c>
      <c r="M50" s="99" t="s">
        <v>16</v>
      </c>
    </row>
    <row r="51" spans="1:13" ht="28">
      <c r="A51" s="7" t="s">
        <v>82</v>
      </c>
      <c r="B51" s="15">
        <f t="shared" ref="B51:M51" si="9">B44+B46+B47-B49</f>
        <v>-94.581848314185621</v>
      </c>
      <c r="C51" s="15">
        <f t="shared" si="9"/>
        <v>-89.091848314185626</v>
      </c>
      <c r="D51" s="8">
        <f t="shared" si="9"/>
        <v>-95.595775165767918</v>
      </c>
      <c r="E51" s="8">
        <f t="shared" si="9"/>
        <v>-91.895775165767915</v>
      </c>
      <c r="F51" s="8">
        <f t="shared" si="9"/>
        <v>-95.595775165767918</v>
      </c>
      <c r="G51" s="8">
        <f t="shared" si="9"/>
        <v>-91.895775165767915</v>
      </c>
      <c r="H51" s="8">
        <f t="shared" si="9"/>
        <v>-102.29607512240773</v>
      </c>
      <c r="I51" s="8">
        <f t="shared" si="9"/>
        <v>-98.976075122407735</v>
      </c>
      <c r="J51" s="8">
        <f t="shared" si="9"/>
        <v>-102.21607512240773</v>
      </c>
      <c r="K51" s="8">
        <f t="shared" si="9"/>
        <v>-99.236075122407726</v>
      </c>
      <c r="L51" s="108">
        <f t="shared" si="9"/>
        <v>-98.455775165767918</v>
      </c>
      <c r="M51" s="108">
        <f t="shared" si="9"/>
        <v>-93.875775165767919</v>
      </c>
    </row>
    <row r="52" spans="1:13" ht="28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  <c r="L52" s="115" t="s">
        <v>16</v>
      </c>
      <c r="M52" s="115" t="s">
        <v>16</v>
      </c>
    </row>
    <row r="53" spans="1:13" ht="28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L53" si="10">D26+D30+D33-D34-D51</f>
        <v>134.28239965311855</v>
      </c>
      <c r="E53" s="39">
        <f>E26+E30+E33-E34-E51</f>
        <v>130.58239965311853</v>
      </c>
      <c r="F53" s="39">
        <f t="shared" si="10"/>
        <v>134.28239965311855</v>
      </c>
      <c r="G53" s="39">
        <f t="shared" si="10"/>
        <v>130.58239965311853</v>
      </c>
      <c r="H53" s="39">
        <f t="shared" si="10"/>
        <v>152.97239965311854</v>
      </c>
      <c r="I53" s="39">
        <f>I26+I30+I33-I34-I51</f>
        <v>149.65239965311855</v>
      </c>
      <c r="J53" s="39">
        <f t="shared" si="10"/>
        <v>152.89239965311853</v>
      </c>
      <c r="K53" s="39">
        <f t="shared" si="10"/>
        <v>149.91239965311854</v>
      </c>
      <c r="L53" s="112">
        <f t="shared" si="10"/>
        <v>142.34239965311855</v>
      </c>
      <c r="M53" s="112">
        <f>M26+M30+M33-M34-M51</f>
        <v>137.76239965311854</v>
      </c>
    </row>
    <row r="54" spans="1:13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09"/>
      <c r="M54" s="109"/>
    </row>
    <row r="55" spans="1:13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107">
        <v>0</v>
      </c>
      <c r="M55" s="107">
        <v>0</v>
      </c>
    </row>
    <row r="56" spans="1:13" ht="28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  <c r="L56" s="99" t="s">
        <v>16</v>
      </c>
      <c r="M56" s="99" t="s">
        <v>16</v>
      </c>
    </row>
    <row r="57" spans="1:13" ht="28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107">
        <v>0</v>
      </c>
      <c r="M57" s="107">
        <v>0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107">
        <v>0</v>
      </c>
      <c r="M58" s="107">
        <v>0</v>
      </c>
    </row>
    <row r="59" spans="1:13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107">
        <v>0</v>
      </c>
      <c r="M59" s="107">
        <v>0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107">
        <v>0</v>
      </c>
      <c r="M60" s="107">
        <v>0</v>
      </c>
    </row>
    <row r="61" spans="1:13" ht="28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  <c r="L61" s="115" t="s">
        <v>16</v>
      </c>
      <c r="M61" s="115" t="s">
        <v>16</v>
      </c>
    </row>
    <row r="62" spans="1:13" ht="28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L62" si="11">D53-D57+D58-D59+D60</f>
        <v>134.28239965311855</v>
      </c>
      <c r="E62" s="39">
        <f>E53-E57+E58-E59+E60</f>
        <v>130.58239965311853</v>
      </c>
      <c r="F62" s="39">
        <f t="shared" si="11"/>
        <v>134.28239965311855</v>
      </c>
      <c r="G62" s="39">
        <f t="shared" si="11"/>
        <v>130.58239965311853</v>
      </c>
      <c r="H62" s="39">
        <f t="shared" si="11"/>
        <v>152.97239965311854</v>
      </c>
      <c r="I62" s="39">
        <f>I53-I57+I58-I59+I60</f>
        <v>149.65239965311855</v>
      </c>
      <c r="J62" s="39">
        <f t="shared" si="11"/>
        <v>152.89239965311853</v>
      </c>
      <c r="K62" s="39">
        <f t="shared" si="11"/>
        <v>149.91239965311854</v>
      </c>
      <c r="L62" s="112">
        <f t="shared" si="11"/>
        <v>142.34239965311855</v>
      </c>
      <c r="M62" s="112">
        <f>M53-M57+M58-M59+M60</f>
        <v>137.76239965311854</v>
      </c>
    </row>
    <row r="63" spans="1:13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  <c r="M63" s="101"/>
    </row>
    <row r="64" spans="1:13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  <c r="L64" s="115" t="s">
        <v>16</v>
      </c>
      <c r="M64" s="115" t="s">
        <v>16</v>
      </c>
    </row>
    <row r="65" spans="1:13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L65" si="12">D17-D23-D51+D21+D33</f>
        <v>116.20000000000005</v>
      </c>
      <c r="E65" s="39">
        <f>E17-E23-E51+E21+E33</f>
        <v>112.50000000000003</v>
      </c>
      <c r="F65" s="39">
        <f t="shared" si="12"/>
        <v>116.20000000000005</v>
      </c>
      <c r="G65" s="39">
        <f t="shared" si="12"/>
        <v>112.50000000000003</v>
      </c>
      <c r="H65" s="39">
        <f t="shared" si="12"/>
        <v>119.89000000000004</v>
      </c>
      <c r="I65" s="39">
        <f>I17-I23-I51+I21+I33</f>
        <v>116.57000000000005</v>
      </c>
      <c r="J65" s="39">
        <f t="shared" si="12"/>
        <v>119.81000000000003</v>
      </c>
      <c r="K65" s="39">
        <f t="shared" si="12"/>
        <v>116.83000000000004</v>
      </c>
      <c r="L65" s="112">
        <f t="shared" si="12"/>
        <v>119.06000000000003</v>
      </c>
      <c r="M65" s="112">
        <f>M17-M23-M51+M21+M33</f>
        <v>114.48000000000005</v>
      </c>
    </row>
  </sheetData>
  <mergeCells count="4">
    <mergeCell ref="B1:C1"/>
    <mergeCell ref="D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2" customWidth="1"/>
    <col min="7" max="7" width="17.1640625" style="1" customWidth="1"/>
    <col min="8" max="8" width="17.83203125" style="101" customWidth="1"/>
    <col min="9" max="9" width="17.1640625" style="106" customWidth="1"/>
    <col min="10" max="10" width="17.83203125" style="2" customWidth="1"/>
    <col min="11" max="11" width="17.1640625" style="106" customWidth="1"/>
    <col min="12" max="16384" width="9" style="1"/>
  </cols>
  <sheetData>
    <row r="1" spans="1:11" ht="14.25" customHeight="1">
      <c r="A1" s="3"/>
      <c r="B1" s="124" t="s">
        <v>125</v>
      </c>
      <c r="C1" s="124"/>
      <c r="D1" s="124" t="s">
        <v>126</v>
      </c>
      <c r="E1" s="124"/>
      <c r="F1" s="124" t="s">
        <v>128</v>
      </c>
      <c r="G1" s="124"/>
      <c r="H1" s="133" t="s">
        <v>135</v>
      </c>
      <c r="I1" s="133"/>
      <c r="J1" s="124" t="s">
        <v>130</v>
      </c>
      <c r="K1" s="124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  <c r="H2" s="113" t="s">
        <v>112</v>
      </c>
      <c r="I2" s="114" t="s">
        <v>113</v>
      </c>
      <c r="J2" s="5" t="s">
        <v>112</v>
      </c>
      <c r="K2" s="6" t="s">
        <v>113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108">
        <v>28</v>
      </c>
      <c r="I3" s="108">
        <v>28</v>
      </c>
      <c r="J3" s="108">
        <v>28</v>
      </c>
      <c r="K3" s="108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108">
        <v>100</v>
      </c>
      <c r="I4" s="108">
        <v>100</v>
      </c>
      <c r="J4" s="108">
        <v>100</v>
      </c>
      <c r="K4" s="108">
        <v>100</v>
      </c>
    </row>
    <row r="5" spans="1:11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" t="s">
        <v>16</v>
      </c>
      <c r="K5" s="9" t="s">
        <v>16</v>
      </c>
    </row>
    <row r="6" spans="1:11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" t="s">
        <v>16</v>
      </c>
      <c r="K6" s="9" t="s">
        <v>16</v>
      </c>
    </row>
    <row r="7" spans="1:11" ht="28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  <c r="H7" s="110">
        <v>0.01</v>
      </c>
      <c r="I7" s="110">
        <v>0.01</v>
      </c>
      <c r="J7" s="11">
        <v>0.01</v>
      </c>
      <c r="K7" s="11">
        <v>0.01</v>
      </c>
    </row>
    <row r="8" spans="1:11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  <c r="H8" s="99" t="s">
        <v>16</v>
      </c>
      <c r="I8" s="99" t="s">
        <v>16</v>
      </c>
      <c r="J8" s="9" t="s">
        <v>16</v>
      </c>
      <c r="K8" s="9" t="s">
        <v>16</v>
      </c>
    </row>
    <row r="9" spans="1:11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  <c r="H9" s="107" t="s">
        <v>22</v>
      </c>
      <c r="I9" s="107" t="s">
        <v>22</v>
      </c>
      <c r="J9" s="89" t="s">
        <v>22</v>
      </c>
      <c r="K9" s="89" t="s">
        <v>22</v>
      </c>
    </row>
    <row r="10" spans="1:11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  <c r="H10" s="108">
        <v>3</v>
      </c>
      <c r="I10" s="108">
        <v>3</v>
      </c>
      <c r="J10" s="18">
        <v>3</v>
      </c>
      <c r="K10" s="18">
        <v>3</v>
      </c>
    </row>
    <row r="11" spans="1:11">
      <c r="A11" s="4" t="s">
        <v>25</v>
      </c>
      <c r="B11" s="14"/>
      <c r="C11" s="14"/>
      <c r="D11" s="14"/>
      <c r="E11" s="14"/>
      <c r="F11" s="14"/>
      <c r="G11" s="14"/>
      <c r="H11" s="109"/>
      <c r="I11" s="109"/>
      <c r="J11" s="109"/>
      <c r="K11" s="109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  <c r="H12" s="108">
        <v>4</v>
      </c>
      <c r="I12" s="108">
        <v>4</v>
      </c>
      <c r="J12" s="108">
        <v>4</v>
      </c>
      <c r="K12" s="108">
        <v>4</v>
      </c>
    </row>
    <row r="13" spans="1:11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108">
        <v>2</v>
      </c>
      <c r="I13" s="108">
        <v>2</v>
      </c>
      <c r="J13" s="108">
        <v>2</v>
      </c>
      <c r="K13" s="108">
        <v>2</v>
      </c>
    </row>
    <row r="14" spans="1:11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  <c r="H14" s="108">
        <v>1</v>
      </c>
      <c r="I14" s="108">
        <v>1</v>
      </c>
      <c r="J14" s="108">
        <v>1</v>
      </c>
      <c r="K14" s="108">
        <v>1</v>
      </c>
    </row>
    <row r="15" spans="1:11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  <c r="H15" s="108" t="s">
        <v>16</v>
      </c>
      <c r="I15" s="108" t="s">
        <v>16</v>
      </c>
      <c r="J15" s="18" t="s">
        <v>16</v>
      </c>
      <c r="K15" s="18" t="s">
        <v>16</v>
      </c>
    </row>
    <row r="16" spans="1:11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  <c r="H16" s="107">
        <v>23</v>
      </c>
      <c r="I16" s="107">
        <v>23</v>
      </c>
      <c r="J16" s="89">
        <v>23</v>
      </c>
      <c r="K16" s="89">
        <v>23</v>
      </c>
    </row>
    <row r="17" spans="1:11" ht="28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  <c r="H17" s="108">
        <f>H16</f>
        <v>23</v>
      </c>
      <c r="I17" s="108">
        <f>I16</f>
        <v>23</v>
      </c>
      <c r="J17" s="18">
        <f>J16</f>
        <v>23</v>
      </c>
      <c r="K17" s="18">
        <f>K16</f>
        <v>23</v>
      </c>
    </row>
    <row r="18" spans="1:11" ht="42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  <c r="H18" s="108">
        <f>H19+10*LOG10(H12/H14)-H20</f>
        <v>11.020599913279625</v>
      </c>
      <c r="I18" s="108">
        <f>I19+10*LOG10(I12/I14)-I20</f>
        <v>11.020599913279625</v>
      </c>
      <c r="J18" s="108">
        <f>J19+10*LOG10(J12/J14)-J20</f>
        <v>11.020599913279625</v>
      </c>
      <c r="K18" s="108">
        <f>K19+10*LOG10(K12/K14)-K20</f>
        <v>11.020599913279625</v>
      </c>
    </row>
    <row r="19" spans="1:1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  <c r="H19" s="108">
        <v>5</v>
      </c>
      <c r="I19" s="108">
        <v>5</v>
      </c>
      <c r="J19" s="108">
        <v>5</v>
      </c>
      <c r="K19" s="108">
        <v>5</v>
      </c>
    </row>
    <row r="20" spans="1:11" ht="42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  <c r="H20" s="107">
        <v>0</v>
      </c>
      <c r="I20" s="107">
        <v>0</v>
      </c>
      <c r="J20" s="89">
        <v>0</v>
      </c>
      <c r="K20" s="89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  <c r="H21" s="108">
        <v>0</v>
      </c>
      <c r="I21" s="108">
        <v>0</v>
      </c>
      <c r="J21" s="18">
        <v>0</v>
      </c>
      <c r="K21" s="18">
        <v>0</v>
      </c>
    </row>
    <row r="22" spans="1:11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  <c r="H22" s="108">
        <v>0</v>
      </c>
      <c r="I22" s="108">
        <v>0</v>
      </c>
      <c r="J22" s="18">
        <v>0</v>
      </c>
      <c r="K22" s="18">
        <v>0</v>
      </c>
    </row>
    <row r="23" spans="1:11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  <c r="H23" s="108">
        <v>0</v>
      </c>
      <c r="I23" s="108">
        <v>0</v>
      </c>
      <c r="J23" s="18">
        <v>0</v>
      </c>
      <c r="K23" s="18">
        <v>0</v>
      </c>
    </row>
    <row r="24" spans="1:11" ht="28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  <c r="H24" s="108">
        <v>1</v>
      </c>
      <c r="I24" s="108">
        <v>1</v>
      </c>
      <c r="J24" s="18">
        <v>1</v>
      </c>
      <c r="K24" s="18">
        <v>1</v>
      </c>
    </row>
    <row r="25" spans="1:11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  <c r="H25" s="108">
        <f>H17+H18+H21+H22-H24</f>
        <v>33.020599913279625</v>
      </c>
      <c r="I25" s="108">
        <f>I17+I18+I21+I22-I24</f>
        <v>33.020599913279625</v>
      </c>
      <c r="J25" s="18">
        <f>J17+J18+J21+J22-J24</f>
        <v>33.020599913279625</v>
      </c>
      <c r="K25" s="18">
        <f>K17+K18+K21+K22-K24</f>
        <v>33.020599913279625</v>
      </c>
    </row>
    <row r="26" spans="1:11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  <c r="H26" s="99" t="s">
        <v>16</v>
      </c>
      <c r="I26" s="99" t="s">
        <v>16</v>
      </c>
      <c r="J26" s="9" t="s">
        <v>16</v>
      </c>
      <c r="K26" s="9" t="s">
        <v>16</v>
      </c>
    </row>
    <row r="27" spans="1:11">
      <c r="A27" s="4" t="s">
        <v>52</v>
      </c>
      <c r="B27" s="14"/>
      <c r="C27" s="14"/>
      <c r="D27" s="19"/>
      <c r="E27" s="19"/>
      <c r="F27" s="14"/>
      <c r="G27" s="14"/>
      <c r="H27" s="109"/>
      <c r="I27" s="109"/>
      <c r="J27" s="19"/>
      <c r="K27" s="19"/>
    </row>
    <row r="28" spans="1:11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  <c r="H28" s="108">
        <v>128</v>
      </c>
      <c r="I28" s="108">
        <v>128</v>
      </c>
      <c r="J28" s="108">
        <v>128</v>
      </c>
      <c r="K28" s="108">
        <v>128</v>
      </c>
    </row>
    <row r="29" spans="1:11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  <c r="H29" s="108">
        <v>2</v>
      </c>
      <c r="I29" s="108">
        <v>2</v>
      </c>
      <c r="J29" s="108">
        <v>2</v>
      </c>
      <c r="K29" s="108">
        <v>2</v>
      </c>
    </row>
    <row r="30" spans="1:11" ht="42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  <c r="H30" s="108">
        <f>H31+10*LOG10(H28/H13)-H32</f>
        <v>16.261799739838871</v>
      </c>
      <c r="I30" s="108">
        <f>I31+10*LOG10(I28/I13)-I32</f>
        <v>16.261799739838871</v>
      </c>
      <c r="J30" s="18">
        <f>J31+10*LOG10(J28/J13)-J32</f>
        <v>26.061799739838872</v>
      </c>
      <c r="K30" s="18">
        <f>K31+10*LOG10(K28/K13)-K32</f>
        <v>26.061799739838872</v>
      </c>
    </row>
    <row r="31" spans="1:11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  <c r="H31" s="108">
        <v>8</v>
      </c>
      <c r="I31" s="108">
        <v>8</v>
      </c>
      <c r="J31" s="18">
        <v>8</v>
      </c>
      <c r="K31" s="18">
        <v>8</v>
      </c>
    </row>
    <row r="32" spans="1:11" ht="42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  <c r="H32" s="107">
        <v>9.8000000000000007</v>
      </c>
      <c r="I32" s="107">
        <v>9.8000000000000007</v>
      </c>
      <c r="J32" s="89">
        <v>0</v>
      </c>
      <c r="K32" s="89">
        <v>0</v>
      </c>
    </row>
    <row r="33" spans="1:11" ht="28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  <c r="H33" s="107">
        <v>0</v>
      </c>
      <c r="I33" s="107">
        <v>0</v>
      </c>
      <c r="J33" s="89">
        <v>0</v>
      </c>
      <c r="K33" s="89">
        <v>0</v>
      </c>
    </row>
    <row r="34" spans="1:11" ht="28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  <c r="H34" s="108">
        <v>3</v>
      </c>
      <c r="I34" s="108">
        <v>3</v>
      </c>
      <c r="J34" s="18">
        <v>3</v>
      </c>
      <c r="K34" s="18">
        <v>3</v>
      </c>
    </row>
    <row r="35" spans="1:11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  <c r="H35" s="108">
        <v>5</v>
      </c>
      <c r="I35" s="108">
        <v>5</v>
      </c>
      <c r="J35" s="18">
        <v>5</v>
      </c>
      <c r="K35" s="18">
        <v>5</v>
      </c>
    </row>
    <row r="36" spans="1:11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  <c r="H36" s="108">
        <v>-174</v>
      </c>
      <c r="I36" s="108">
        <v>-174</v>
      </c>
      <c r="J36" s="18">
        <v>-174</v>
      </c>
      <c r="K36" s="18">
        <v>-174</v>
      </c>
    </row>
    <row r="37" spans="1:11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  <c r="H37" s="107">
        <v>-999</v>
      </c>
      <c r="I37" s="107">
        <v>-999</v>
      </c>
      <c r="J37" s="89">
        <v>-999</v>
      </c>
      <c r="K37" s="89">
        <v>-999</v>
      </c>
    </row>
    <row r="38" spans="1:11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  <c r="H38" s="108" t="s">
        <v>16</v>
      </c>
      <c r="I38" s="108" t="s">
        <v>16</v>
      </c>
      <c r="J38" s="18" t="s">
        <v>16</v>
      </c>
      <c r="K38" s="18" t="s">
        <v>16</v>
      </c>
    </row>
    <row r="39" spans="1:11" ht="28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  <c r="H39" s="108">
        <f>10*LOG10(10^((H35+H36)/10)+10^(H37/10))</f>
        <v>-169.00000000000003</v>
      </c>
      <c r="I39" s="108">
        <f>10*LOG10(10^((I35+I36)/10)+10^(I37/10))</f>
        <v>-169.00000000000003</v>
      </c>
      <c r="J39" s="18">
        <f>10*LOG10(10^((J35+J36)/10)+10^(J37/10))</f>
        <v>-169.00000000000003</v>
      </c>
      <c r="K39" s="18">
        <f>10*LOG10(10^((K35+K36)/10)+10^(K37/10))</f>
        <v>-169.00000000000003</v>
      </c>
    </row>
    <row r="40" spans="1:11" ht="28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  <c r="H40" s="99" t="s">
        <v>16</v>
      </c>
      <c r="I40" s="99" t="s">
        <v>16</v>
      </c>
      <c r="J40" s="9" t="s">
        <v>16</v>
      </c>
      <c r="K40" s="9" t="s">
        <v>16</v>
      </c>
    </row>
    <row r="41" spans="1:11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 t="shared" ref="F41:K41" si="5">139*120*1000</f>
        <v>16680000</v>
      </c>
      <c r="G41" s="86">
        <f t="shared" si="5"/>
        <v>16680000</v>
      </c>
      <c r="H41" s="107">
        <f t="shared" si="5"/>
        <v>16680000</v>
      </c>
      <c r="I41" s="107">
        <f t="shared" si="5"/>
        <v>16680000</v>
      </c>
      <c r="J41" s="107">
        <f t="shared" si="5"/>
        <v>16680000</v>
      </c>
      <c r="K41" s="107">
        <f t="shared" si="5"/>
        <v>16680000</v>
      </c>
    </row>
    <row r="42" spans="1:11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  <c r="H42" s="108" t="s">
        <v>16</v>
      </c>
      <c r="I42" s="108" t="s">
        <v>16</v>
      </c>
      <c r="J42" s="18" t="s">
        <v>16</v>
      </c>
      <c r="K42" s="18" t="s">
        <v>16</v>
      </c>
    </row>
    <row r="43" spans="1:11">
      <c r="A43" s="7" t="s">
        <v>71</v>
      </c>
      <c r="B43" s="15">
        <f t="shared" ref="B43:G43" si="6">B39+10*LOG10(B41)</f>
        <v>-94.125301789939911</v>
      </c>
      <c r="C43" s="15">
        <f t="shared" si="6"/>
        <v>-94.125301789939911</v>
      </c>
      <c r="D43" s="18">
        <f t="shared" si="6"/>
        <v>-103.41258560444506</v>
      </c>
      <c r="E43" s="18">
        <f t="shared" si="6"/>
        <v>-103.41258560444506</v>
      </c>
      <c r="F43" s="8">
        <f t="shared" si="6"/>
        <v>-96.778039536982831</v>
      </c>
      <c r="G43" s="8">
        <f t="shared" si="6"/>
        <v>-96.778039536982831</v>
      </c>
      <c r="H43" s="108">
        <f>H39+10*LOG10(H41)</f>
        <v>-96.778039536982831</v>
      </c>
      <c r="I43" s="108">
        <f>I39+10*LOG10(I41)</f>
        <v>-96.778039536982831</v>
      </c>
      <c r="J43" s="18">
        <f>J39+10*LOG10(J41)</f>
        <v>-96.778039536982831</v>
      </c>
      <c r="K43" s="18">
        <f>K39+10*LOG10(K41)</f>
        <v>-96.778039536982831</v>
      </c>
    </row>
    <row r="44" spans="1:11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  <c r="H44" s="99" t="s">
        <v>16</v>
      </c>
      <c r="I44" s="99" t="s">
        <v>16</v>
      </c>
      <c r="J44" s="9" t="s">
        <v>16</v>
      </c>
      <c r="K44" s="9" t="s">
        <v>16</v>
      </c>
    </row>
    <row r="45" spans="1:11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  <c r="H45" s="111">
        <v>-9.8000000000000007</v>
      </c>
      <c r="I45" s="111">
        <v>-9.8000000000000007</v>
      </c>
      <c r="J45" s="92">
        <v>-12.574</v>
      </c>
      <c r="K45" s="92">
        <v>-12.574</v>
      </c>
    </row>
    <row r="46" spans="1:11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  <c r="H46" s="108" t="s">
        <v>16</v>
      </c>
      <c r="I46" s="108" t="s">
        <v>16</v>
      </c>
      <c r="J46" s="18" t="s">
        <v>16</v>
      </c>
      <c r="K46" s="18" t="s">
        <v>16</v>
      </c>
    </row>
    <row r="47" spans="1:11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  <c r="H47" s="108">
        <v>2</v>
      </c>
      <c r="I47" s="108">
        <v>2</v>
      </c>
      <c r="J47" s="18">
        <v>2</v>
      </c>
      <c r="K47" s="18">
        <v>2</v>
      </c>
    </row>
    <row r="48" spans="1:11" ht="28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  <c r="H48" s="108">
        <v>0</v>
      </c>
      <c r="I48" s="108">
        <v>0</v>
      </c>
      <c r="J48" s="18">
        <v>0</v>
      </c>
      <c r="K48" s="1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  <c r="H49" s="99" t="s">
        <v>16</v>
      </c>
      <c r="I49" s="99" t="s">
        <v>16</v>
      </c>
      <c r="J49" s="9" t="s">
        <v>16</v>
      </c>
      <c r="K49" s="9" t="s">
        <v>16</v>
      </c>
    </row>
    <row r="50" spans="1:11" ht="28">
      <c r="A50" s="7" t="s">
        <v>80</v>
      </c>
      <c r="B50" s="15">
        <f t="shared" ref="B50:G50" si="7">B43+B45+B47-B48</f>
        <v>-102.47530178993991</v>
      </c>
      <c r="C50" s="15">
        <f t="shared" si="7"/>
        <v>-102.47530178993991</v>
      </c>
      <c r="D50" s="18">
        <f t="shared" si="7"/>
        <v>-101.41258560444506</v>
      </c>
      <c r="E50" s="18">
        <f t="shared" si="7"/>
        <v>-101.41258560444506</v>
      </c>
      <c r="F50" s="8">
        <f t="shared" si="7"/>
        <v>-106.97803953698283</v>
      </c>
      <c r="G50" s="8">
        <f t="shared" si="7"/>
        <v>-106.97803953698283</v>
      </c>
      <c r="H50" s="108">
        <f>H43+H45+H47-H48</f>
        <v>-104.57803953698283</v>
      </c>
      <c r="I50" s="108">
        <f>I43+I45+I47-I48</f>
        <v>-104.57803953698283</v>
      </c>
      <c r="J50" s="18">
        <f>J43+J45+J47-J48</f>
        <v>-107.35203953698283</v>
      </c>
      <c r="K50" s="18">
        <f>K43+K45+K47-K48</f>
        <v>-107.35203953698283</v>
      </c>
    </row>
    <row r="51" spans="1:11" ht="28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  <c r="H51" s="108" t="s">
        <v>16</v>
      </c>
      <c r="I51" s="108" t="s">
        <v>16</v>
      </c>
      <c r="J51" s="18" t="s">
        <v>16</v>
      </c>
      <c r="K51" s="18" t="s">
        <v>16</v>
      </c>
    </row>
    <row r="52" spans="1:11" ht="28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K52" si="8">D25+D30+D33-D34-D50</f>
        <v>157.49498525756354</v>
      </c>
      <c r="E52" s="27">
        <f t="shared" si="8"/>
        <v>157.49498525756354</v>
      </c>
      <c r="F52" s="39">
        <f t="shared" si="8"/>
        <v>149.06043919010133</v>
      </c>
      <c r="G52" s="39">
        <f t="shared" si="8"/>
        <v>149.06043919010133</v>
      </c>
      <c r="H52" s="112">
        <f t="shared" si="8"/>
        <v>150.86043919010132</v>
      </c>
      <c r="I52" s="112">
        <f t="shared" si="8"/>
        <v>150.86043919010132</v>
      </c>
      <c r="J52" s="27">
        <f t="shared" si="8"/>
        <v>163.43443919010133</v>
      </c>
      <c r="K52" s="27">
        <f t="shared" si="8"/>
        <v>163.43443919010133</v>
      </c>
    </row>
    <row r="53" spans="1:11" ht="28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  <c r="H53" s="115" t="s">
        <v>16</v>
      </c>
      <c r="I53" s="115" t="s">
        <v>16</v>
      </c>
      <c r="J53" s="103" t="s">
        <v>16</v>
      </c>
      <c r="K53" s="103" t="s">
        <v>16</v>
      </c>
    </row>
    <row r="54" spans="1:11">
      <c r="A54" s="4" t="s">
        <v>86</v>
      </c>
      <c r="B54" s="14"/>
      <c r="C54" s="14"/>
      <c r="D54" s="19"/>
      <c r="E54" s="19"/>
      <c r="F54" s="14"/>
      <c r="G54" s="14"/>
      <c r="H54" s="109"/>
      <c r="I54" s="109"/>
      <c r="J54" s="19"/>
      <c r="K54" s="19"/>
    </row>
    <row r="55" spans="1:11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  <c r="H55" s="107">
        <v>0</v>
      </c>
      <c r="I55" s="107">
        <v>0</v>
      </c>
      <c r="J55" s="89">
        <v>0</v>
      </c>
      <c r="K55" s="89">
        <v>0</v>
      </c>
    </row>
    <row r="56" spans="1:11" ht="28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  <c r="H56" s="107">
        <v>0</v>
      </c>
      <c r="I56" s="107">
        <v>0</v>
      </c>
      <c r="J56" s="107">
        <v>0</v>
      </c>
      <c r="K56" s="107">
        <v>0</v>
      </c>
    </row>
    <row r="57" spans="1:11" ht="28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  <c r="H57" s="99" t="s">
        <v>16</v>
      </c>
      <c r="I57" s="99" t="s">
        <v>16</v>
      </c>
      <c r="J57" s="9" t="s">
        <v>16</v>
      </c>
      <c r="K57" s="9" t="s">
        <v>16</v>
      </c>
    </row>
    <row r="58" spans="1:11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  <c r="H58" s="107">
        <v>0</v>
      </c>
      <c r="I58" s="107">
        <v>0</v>
      </c>
      <c r="J58" s="89">
        <v>0</v>
      </c>
      <c r="K58" s="89">
        <v>0</v>
      </c>
    </row>
    <row r="59" spans="1:11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  <c r="H59" s="107">
        <v>0</v>
      </c>
      <c r="I59" s="107">
        <v>0</v>
      </c>
      <c r="J59" s="89">
        <v>0</v>
      </c>
      <c r="K59" s="89">
        <v>0</v>
      </c>
    </row>
    <row r="60" spans="1:11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  <c r="H60" s="107">
        <v>0</v>
      </c>
      <c r="I60" s="107">
        <v>0</v>
      </c>
      <c r="J60" s="89">
        <v>0</v>
      </c>
      <c r="K60" s="89">
        <v>0</v>
      </c>
    </row>
    <row r="61" spans="1:11" ht="28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K61" si="9">D52-D56+D58-D59+D60</f>
        <v>152.31498525756354</v>
      </c>
      <c r="E61" s="27">
        <f t="shared" si="9"/>
        <v>152.31498525756354</v>
      </c>
      <c r="F61" s="39">
        <f t="shared" si="9"/>
        <v>149.06043919010133</v>
      </c>
      <c r="G61" s="39">
        <f t="shared" si="9"/>
        <v>149.06043919010133</v>
      </c>
      <c r="H61" s="112">
        <f t="shared" si="9"/>
        <v>150.86043919010132</v>
      </c>
      <c r="I61" s="112">
        <f t="shared" si="9"/>
        <v>150.86043919010132</v>
      </c>
      <c r="J61" s="27">
        <f t="shared" si="9"/>
        <v>163.43443919010133</v>
      </c>
      <c r="K61" s="27">
        <f t="shared" si="9"/>
        <v>163.43443919010133</v>
      </c>
    </row>
    <row r="62" spans="1:11" ht="28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  <c r="H62" s="115" t="s">
        <v>16</v>
      </c>
      <c r="I62" s="115" t="s">
        <v>16</v>
      </c>
      <c r="J62" s="103" t="s">
        <v>16</v>
      </c>
      <c r="K62" s="103" t="s">
        <v>16</v>
      </c>
    </row>
    <row r="63" spans="1:11">
      <c r="B63" s="42"/>
      <c r="C63" s="42"/>
      <c r="E63" s="2"/>
      <c r="F63" s="101"/>
      <c r="G63" s="101"/>
      <c r="I63" s="101"/>
      <c r="K63" s="2"/>
    </row>
    <row r="64" spans="1:11">
      <c r="A64" s="26" t="s">
        <v>97</v>
      </c>
      <c r="B64" s="27">
        <f t="shared" ref="B64:G64" si="10">B17+B22-B50+B21+B33</f>
        <v>114.47530178993991</v>
      </c>
      <c r="C64" s="27">
        <f t="shared" si="10"/>
        <v>114.47530178993991</v>
      </c>
      <c r="D64" s="27">
        <f t="shared" si="10"/>
        <v>124.41258560444506</v>
      </c>
      <c r="E64" s="27">
        <f t="shared" si="10"/>
        <v>124.41258560444506</v>
      </c>
      <c r="F64" s="39">
        <f t="shared" si="10"/>
        <v>129.97803953698283</v>
      </c>
      <c r="G64" s="39">
        <f t="shared" si="10"/>
        <v>129.97803953698283</v>
      </c>
      <c r="H64" s="112">
        <f>H17+H22-H50+H21+H33</f>
        <v>127.57803953698283</v>
      </c>
      <c r="I64" s="112">
        <f>I17+I22-I50+I21+I33</f>
        <v>127.57803953698283</v>
      </c>
      <c r="J64" s="27">
        <f>J17+J22-J50+J21+J33</f>
        <v>130.35203953698283</v>
      </c>
      <c r="K64" s="27">
        <f>K17+K22-K50+K21+K33</f>
        <v>130.35203953698283</v>
      </c>
    </row>
    <row r="65" spans="1:11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  <c r="H65" s="115" t="s">
        <v>16</v>
      </c>
      <c r="I65" s="115" t="s">
        <v>16</v>
      </c>
      <c r="J65" s="103" t="s">
        <v>16</v>
      </c>
      <c r="K65" s="10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47" customWidth="1"/>
    <col min="2" max="4" width="15.6640625" style="2" customWidth="1"/>
    <col min="5" max="5" width="15.6640625" style="48" customWidth="1"/>
    <col min="6" max="6" width="39.6640625" style="41" customWidth="1"/>
    <col min="7" max="16384" width="9" style="1"/>
  </cols>
  <sheetData>
    <row r="1" spans="1:6">
      <c r="A1" s="49" t="s">
        <v>0</v>
      </c>
    </row>
    <row r="2" spans="1:6" ht="28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4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6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2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2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8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8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8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8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8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8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8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8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pane xSplit="1" ySplit="1" topLeftCell="W54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3" width="15.6640625" style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6640625" style="2" customWidth="1"/>
    <col min="21" max="24" width="15.6640625" style="1" customWidth="1"/>
    <col min="25" max="25" width="13.6640625" style="1" customWidth="1"/>
    <col min="26" max="26" width="15.6640625" style="2" customWidth="1"/>
    <col min="27" max="27" width="15.6640625" style="1" customWidth="1"/>
    <col min="28" max="28" width="15.6640625" style="101" customWidth="1"/>
    <col min="29" max="29" width="15.6640625" style="106" customWidth="1"/>
    <col min="30" max="16384" width="9" style="1"/>
  </cols>
  <sheetData>
    <row r="1" spans="1:29" ht="14.25" customHeight="1">
      <c r="A1" s="3"/>
      <c r="B1" s="121" t="s">
        <v>101</v>
      </c>
      <c r="C1" s="122"/>
      <c r="D1" s="122"/>
      <c r="E1" s="123"/>
      <c r="F1" s="124" t="s">
        <v>102</v>
      </c>
      <c r="G1" s="124"/>
      <c r="H1" s="125" t="s">
        <v>119</v>
      </c>
      <c r="I1" s="126"/>
      <c r="J1" s="126"/>
      <c r="K1" s="127"/>
      <c r="L1" s="121" t="s">
        <v>121</v>
      </c>
      <c r="M1" s="122"/>
      <c r="N1" s="128" t="s">
        <v>126</v>
      </c>
      <c r="O1" s="129"/>
      <c r="P1" s="121" t="s">
        <v>127</v>
      </c>
      <c r="Q1" s="122"/>
      <c r="R1" s="122"/>
      <c r="S1" s="123"/>
      <c r="T1" s="121" t="s">
        <v>128</v>
      </c>
      <c r="U1" s="122"/>
      <c r="V1" s="122"/>
      <c r="W1" s="123"/>
      <c r="X1" s="128" t="s">
        <v>129</v>
      </c>
      <c r="Y1" s="129"/>
      <c r="Z1" s="121" t="s">
        <v>130</v>
      </c>
      <c r="AA1" s="122"/>
      <c r="AB1" s="130" t="s">
        <v>135</v>
      </c>
      <c r="AC1" s="131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3" t="s">
        <v>103</v>
      </c>
      <c r="AC2" s="114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108">
        <v>28</v>
      </c>
      <c r="Y3" s="108">
        <v>28</v>
      </c>
      <c r="Z3" s="8">
        <v>28</v>
      </c>
      <c r="AA3" s="8">
        <v>28</v>
      </c>
      <c r="AB3" s="108">
        <v>28</v>
      </c>
      <c r="AC3" s="108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108">
        <v>100</v>
      </c>
      <c r="Y4" s="108">
        <v>100</v>
      </c>
      <c r="Z4" s="8">
        <v>100</v>
      </c>
      <c r="AA4" s="8">
        <v>100</v>
      </c>
      <c r="AB4" s="108">
        <v>100</v>
      </c>
      <c r="AC4" s="108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110">
        <v>0.01</v>
      </c>
      <c r="Y7" s="110">
        <v>0.01</v>
      </c>
      <c r="Z7" s="43">
        <v>0.01</v>
      </c>
      <c r="AA7" s="43">
        <v>0.01</v>
      </c>
      <c r="AB7" s="110">
        <v>0.01</v>
      </c>
      <c r="AC7" s="110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107" t="s">
        <v>22</v>
      </c>
      <c r="Y9" s="107" t="s">
        <v>22</v>
      </c>
      <c r="Z9" s="86" t="s">
        <v>22</v>
      </c>
      <c r="AA9" s="86" t="s">
        <v>22</v>
      </c>
      <c r="AB9" s="107" t="s">
        <v>22</v>
      </c>
      <c r="AC9" s="107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108">
        <v>3</v>
      </c>
      <c r="Y10" s="108">
        <v>3</v>
      </c>
      <c r="Z10" s="8">
        <v>3</v>
      </c>
      <c r="AA10" s="8">
        <v>3</v>
      </c>
      <c r="AB10" s="108">
        <v>3</v>
      </c>
      <c r="AC10" s="108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09"/>
      <c r="Y11" s="109"/>
      <c r="Z11" s="14"/>
      <c r="AA11" s="14"/>
      <c r="AB11" s="109"/>
      <c r="AC11" s="109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108">
        <v>128</v>
      </c>
      <c r="Y12" s="108">
        <v>128</v>
      </c>
      <c r="Z12" s="8">
        <v>128</v>
      </c>
      <c r="AA12" s="8">
        <v>128</v>
      </c>
      <c r="AB12" s="108">
        <v>128</v>
      </c>
      <c r="AC12" s="108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108">
        <v>2</v>
      </c>
      <c r="Y13" s="108">
        <v>2</v>
      </c>
      <c r="Z13" s="8">
        <v>2</v>
      </c>
      <c r="AA13" s="8">
        <v>2</v>
      </c>
      <c r="AB13" s="108">
        <v>2</v>
      </c>
      <c r="AC13" s="108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108">
        <v>2</v>
      </c>
      <c r="Y14" s="108">
        <v>2</v>
      </c>
      <c r="Z14" s="8">
        <v>2</v>
      </c>
      <c r="AA14" s="8">
        <v>2</v>
      </c>
      <c r="AB14" s="108">
        <v>2</v>
      </c>
      <c r="AC14" s="108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108">
        <v>3</v>
      </c>
      <c r="Y15" s="108">
        <v>3</v>
      </c>
      <c r="Z15" s="8">
        <v>3</v>
      </c>
      <c r="AA15" s="8">
        <v>3</v>
      </c>
      <c r="AB15" s="108">
        <v>3</v>
      </c>
      <c r="AC15" s="108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108">
        <f t="shared" ref="X16:Y16" si="2">X15+10*LOG10(X4)</f>
        <v>23</v>
      </c>
      <c r="Y16" s="108">
        <f t="shared" si="2"/>
        <v>23</v>
      </c>
      <c r="Z16" s="8">
        <f>Z15+10*LOG10(Z4)</f>
        <v>23</v>
      </c>
      <c r="AA16" s="8">
        <f>AA15+10*LOG10(AA4)</f>
        <v>23</v>
      </c>
      <c r="AB16" s="108">
        <f t="shared" ref="AB16:AC16" si="3">AB15+10*LOG10(AB4)</f>
        <v>23</v>
      </c>
      <c r="AC16" s="108">
        <f t="shared" si="3"/>
        <v>23</v>
      </c>
    </row>
    <row r="17" spans="1:29" ht="28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108">
        <f t="shared" ref="X17:Y17" si="7">X15+10*LOG10(X41/1000000)</f>
        <v>21.396037294708371</v>
      </c>
      <c r="Y17" s="10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8">
        <f t="shared" ref="AB17:AC17" si="8">AB15+10*LOG10(AB41/1000000)</f>
        <v>21.396037294708371</v>
      </c>
      <c r="AC17" s="108">
        <f t="shared" si="8"/>
        <v>21.396037294708371</v>
      </c>
    </row>
    <row r="18" spans="1:29" ht="42">
      <c r="A18" s="16" t="s">
        <v>37</v>
      </c>
      <c r="B18" s="15">
        <f t="shared" ref="B18:G18" si="9">B19+10*LOG10(B12/B13)-B20</f>
        <v>26.061799739838872</v>
      </c>
      <c r="C18" s="15">
        <f t="shared" si="9"/>
        <v>26.061799739838872</v>
      </c>
      <c r="D18" s="15">
        <f t="shared" si="9"/>
        <v>26.061799739838872</v>
      </c>
      <c r="E18" s="15">
        <f t="shared" si="9"/>
        <v>26.061799739838872</v>
      </c>
      <c r="F18" s="15">
        <f t="shared" si="9"/>
        <v>20.591799739838873</v>
      </c>
      <c r="G18" s="15">
        <f t="shared" si="9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0">L19+10*LOG10(L12/L13)-L20</f>
        <v>22.581799739838871</v>
      </c>
      <c r="M18" s="15">
        <f t="shared" si="10"/>
        <v>22.581799739838871</v>
      </c>
      <c r="N18" s="8">
        <f t="shared" ref="N18:S18" si="11">N19+10*LOG10(N12/N13)-N20</f>
        <v>26.061799739838872</v>
      </c>
      <c r="O18" s="8">
        <f t="shared" si="11"/>
        <v>26.061799739838872</v>
      </c>
      <c r="P18" s="15">
        <f t="shared" si="11"/>
        <v>26.061799739838872</v>
      </c>
      <c r="Q18" s="15">
        <f t="shared" si="11"/>
        <v>26.061799739838872</v>
      </c>
      <c r="R18" s="15">
        <f t="shared" si="11"/>
        <v>26.061799739838872</v>
      </c>
      <c r="S18" s="15">
        <f t="shared" si="11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108">
        <f t="shared" ref="X18:Y18" si="12">X19+10*LOG10(X12/X13)-X20</f>
        <v>26.061799739838872</v>
      </c>
      <c r="Y18" s="108">
        <f t="shared" si="12"/>
        <v>26.061799739838872</v>
      </c>
      <c r="Z18" s="8">
        <f>Z19+10*LOG10(Z12/Z13)-Z20</f>
        <v>26.061799739838872</v>
      </c>
      <c r="AA18" s="8">
        <f>AA19+10*LOG10(AA12/AA13)-AA20</f>
        <v>26.061799739838872</v>
      </c>
      <c r="AB18" s="108">
        <f t="shared" ref="AB18:AC18" si="13">AB19+10*LOG10(AB12/AB13)-AB20</f>
        <v>17.091799739838869</v>
      </c>
      <c r="AC18" s="108">
        <f t="shared" si="13"/>
        <v>17.091799739838869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108">
        <v>8</v>
      </c>
      <c r="Y19" s="108">
        <v>8</v>
      </c>
      <c r="Z19" s="8">
        <v>8</v>
      </c>
      <c r="AA19" s="8">
        <v>8</v>
      </c>
      <c r="AB19" s="108">
        <v>8</v>
      </c>
      <c r="AC19" s="108">
        <v>8</v>
      </c>
    </row>
    <row r="20" spans="1:29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107">
        <v>0</v>
      </c>
      <c r="Y20" s="107">
        <v>0</v>
      </c>
      <c r="Z20" s="86">
        <v>0</v>
      </c>
      <c r="AA20" s="86">
        <v>0</v>
      </c>
      <c r="AB20" s="107">
        <v>8.9700000000000006</v>
      </c>
      <c r="AC20" s="107">
        <v>8.9700000000000006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107">
        <v>0</v>
      </c>
      <c r="Y21" s="107">
        <v>0</v>
      </c>
      <c r="Z21" s="86">
        <v>0</v>
      </c>
      <c r="AA21" s="86">
        <v>0</v>
      </c>
      <c r="AB21" s="107">
        <v>0</v>
      </c>
      <c r="AC21" s="107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108">
        <v>0</v>
      </c>
      <c r="Y22" s="108">
        <v>0</v>
      </c>
      <c r="Z22" s="8">
        <v>0</v>
      </c>
      <c r="AA22" s="8">
        <v>0</v>
      </c>
      <c r="AB22" s="108">
        <v>0</v>
      </c>
      <c r="AC22" s="108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108">
        <v>0</v>
      </c>
      <c r="Y23" s="108">
        <v>0</v>
      </c>
      <c r="Z23" s="8">
        <v>0</v>
      </c>
      <c r="AA23" s="8">
        <v>0</v>
      </c>
      <c r="AB23" s="108">
        <v>0</v>
      </c>
      <c r="AC23" s="108">
        <v>0</v>
      </c>
    </row>
    <row r="24" spans="1:29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108">
        <v>3</v>
      </c>
      <c r="Y24" s="108">
        <v>3</v>
      </c>
      <c r="Z24" s="8">
        <v>3</v>
      </c>
      <c r="AA24" s="8">
        <v>3</v>
      </c>
      <c r="AB24" s="108">
        <v>3</v>
      </c>
      <c r="AC24" s="108">
        <v>3</v>
      </c>
    </row>
    <row r="25" spans="1:29">
      <c r="A25" s="7" t="s">
        <v>49</v>
      </c>
      <c r="B25" s="15">
        <f t="shared" ref="B25:G25" si="14">B17+B18+B21+B22-B24</f>
        <v>44.457837034547239</v>
      </c>
      <c r="C25" s="15">
        <f t="shared" si="14"/>
        <v>44.457837034547239</v>
      </c>
      <c r="D25" s="15">
        <f t="shared" si="14"/>
        <v>41.447537077907427</v>
      </c>
      <c r="E25" s="15">
        <f t="shared" si="14"/>
        <v>41.447537077907427</v>
      </c>
      <c r="F25" s="15">
        <f t="shared" si="14"/>
        <v>38.98783703454724</v>
      </c>
      <c r="G25" s="15">
        <f t="shared" si="14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5">L17+L18+L21+L22-L24</f>
        <v>40.977837034547242</v>
      </c>
      <c r="M25" s="15">
        <f t="shared" si="15"/>
        <v>40.977837034547242</v>
      </c>
      <c r="N25" s="8">
        <f t="shared" ref="N25:S25" si="16">N17+N18+N21+N22-N24</f>
        <v>44.457837034547239</v>
      </c>
      <c r="O25" s="8">
        <f t="shared" si="16"/>
        <v>44.457837034547239</v>
      </c>
      <c r="P25" s="15">
        <f t="shared" si="16"/>
        <v>44.457837034547239</v>
      </c>
      <c r="Q25" s="15">
        <f t="shared" si="16"/>
        <v>44.457837034547239</v>
      </c>
      <c r="R25" s="15">
        <f t="shared" si="16"/>
        <v>41.447537077907427</v>
      </c>
      <c r="S25" s="15">
        <f t="shared" si="16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108">
        <f t="shared" ref="X25:Y25" si="17">X17+X18+X21+X22-X24</f>
        <v>44.457837034547239</v>
      </c>
      <c r="Y25" s="108">
        <f t="shared" si="17"/>
        <v>44.457837034547239</v>
      </c>
      <c r="Z25" s="8">
        <f>Z17+Z18+Z21+Z22-Z24</f>
        <v>44.457837034547239</v>
      </c>
      <c r="AA25" s="8">
        <f>AA17+AA18+AA21+AA22-AA24</f>
        <v>44.457837034547239</v>
      </c>
      <c r="AB25" s="108">
        <f t="shared" ref="AB25:AC25" si="18">AB17+AB18+AB21+AB22-AB24</f>
        <v>35.48783703454724</v>
      </c>
      <c r="AC25" s="108">
        <f t="shared" si="18"/>
        <v>35.48783703454724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09"/>
      <c r="Y27" s="109"/>
      <c r="Z27" s="14"/>
      <c r="AA27" s="14"/>
      <c r="AB27" s="109"/>
      <c r="AC27" s="109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108">
        <v>8</v>
      </c>
      <c r="Y28" s="108">
        <v>4</v>
      </c>
      <c r="Z28" s="8">
        <v>8</v>
      </c>
      <c r="AA28" s="8">
        <v>4</v>
      </c>
      <c r="AB28" s="108">
        <v>8</v>
      </c>
      <c r="AC28" s="108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108">
        <v>2</v>
      </c>
      <c r="Y29" s="108">
        <v>1</v>
      </c>
      <c r="Z29" s="8">
        <v>2</v>
      </c>
      <c r="AA29" s="8">
        <v>1</v>
      </c>
      <c r="AB29" s="108">
        <v>2</v>
      </c>
      <c r="AC29" s="108">
        <v>1</v>
      </c>
    </row>
    <row r="30" spans="1:29" ht="42">
      <c r="A30" s="7" t="s">
        <v>55</v>
      </c>
      <c r="B30" s="15">
        <f t="shared" ref="B30:G30" si="19">B31+10*LOG10(B28/B29)-B32</f>
        <v>11.020599913279625</v>
      </c>
      <c r="C30" s="15">
        <f t="shared" si="19"/>
        <v>11.020599913279625</v>
      </c>
      <c r="D30" s="15">
        <f t="shared" si="19"/>
        <v>11.020599913279625</v>
      </c>
      <c r="E30" s="15">
        <f t="shared" si="19"/>
        <v>11.020599913279625</v>
      </c>
      <c r="F30" s="15">
        <f t="shared" si="19"/>
        <v>11.020599913279625</v>
      </c>
      <c r="G30" s="15">
        <f t="shared" si="19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0">L31+10*LOG10(L28/L29)-L32</f>
        <v>11.020599913279625</v>
      </c>
      <c r="M30" s="15">
        <f t="shared" si="20"/>
        <v>11.020599913279625</v>
      </c>
      <c r="N30" s="8">
        <f t="shared" ref="N30:S30" si="21">N31+10*LOG10(N28/N29)-N32</f>
        <v>11.020599913279625</v>
      </c>
      <c r="O30" s="8">
        <f t="shared" si="21"/>
        <v>11.020599913279625</v>
      </c>
      <c r="P30" s="15">
        <f t="shared" si="21"/>
        <v>11.020599913279625</v>
      </c>
      <c r="Q30" s="15">
        <f t="shared" si="21"/>
        <v>11.020599913279625</v>
      </c>
      <c r="R30" s="15">
        <f t="shared" si="21"/>
        <v>11.020599913279625</v>
      </c>
      <c r="S30" s="15">
        <f t="shared" si="21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108">
        <f t="shared" ref="X30:Y30" si="22">X31+10*LOG10(X28/X29)-X32</f>
        <v>11.020599913279625</v>
      </c>
      <c r="Y30" s="108">
        <f t="shared" si="22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8">
        <f t="shared" ref="AB30:AC30" si="23">AB31+10*LOG10(AB28/AB29)-AB32</f>
        <v>11.020599913279625</v>
      </c>
      <c r="AC30" s="108">
        <f t="shared" si="23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108">
        <v>5</v>
      </c>
      <c r="Y31" s="108">
        <v>5</v>
      </c>
      <c r="Z31" s="8">
        <v>5</v>
      </c>
      <c r="AA31" s="8">
        <v>5</v>
      </c>
      <c r="AB31" s="108">
        <v>5</v>
      </c>
      <c r="AC31" s="108">
        <v>5</v>
      </c>
    </row>
    <row r="32" spans="1:29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107">
        <v>0</v>
      </c>
      <c r="Y32" s="107">
        <v>0</v>
      </c>
      <c r="Z32" s="86">
        <v>0</v>
      </c>
      <c r="AA32" s="86">
        <v>0</v>
      </c>
      <c r="AB32" s="107">
        <v>0</v>
      </c>
      <c r="AC32" s="107">
        <v>0</v>
      </c>
    </row>
    <row r="33" spans="1:29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108">
        <v>0</v>
      </c>
      <c r="Y33" s="108">
        <v>0</v>
      </c>
      <c r="Z33" s="8">
        <v>0</v>
      </c>
      <c r="AA33" s="8">
        <v>0</v>
      </c>
      <c r="AB33" s="108">
        <v>0</v>
      </c>
      <c r="AC33" s="108">
        <v>0</v>
      </c>
    </row>
    <row r="34" spans="1:29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108">
        <v>1</v>
      </c>
      <c r="Y34" s="108">
        <v>1</v>
      </c>
      <c r="Z34" s="8">
        <v>1</v>
      </c>
      <c r="AA34" s="8">
        <v>1</v>
      </c>
      <c r="AB34" s="108">
        <v>1</v>
      </c>
      <c r="AC34" s="108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108">
        <v>7</v>
      </c>
      <c r="Y35" s="108">
        <v>7</v>
      </c>
      <c r="Z35" s="8">
        <v>7</v>
      </c>
      <c r="AA35" s="8">
        <v>7</v>
      </c>
      <c r="AB35" s="108">
        <v>7</v>
      </c>
      <c r="AC35" s="108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8">
        <v>-174</v>
      </c>
      <c r="Y36" s="108">
        <v>-174</v>
      </c>
      <c r="Z36" s="8">
        <v>-174</v>
      </c>
      <c r="AA36" s="8">
        <v>-174</v>
      </c>
      <c r="AB36" s="108">
        <v>-174</v>
      </c>
      <c r="AC36" s="108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7">
        <v>-999</v>
      </c>
      <c r="AC37" s="107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108" t="s">
        <v>16</v>
      </c>
      <c r="Y38" s="108" t="s">
        <v>16</v>
      </c>
      <c r="Z38" s="8" t="s">
        <v>16</v>
      </c>
      <c r="AA38" s="8" t="s">
        <v>16</v>
      </c>
      <c r="AB38" s="108" t="s">
        <v>16</v>
      </c>
      <c r="AC38" s="108" t="s">
        <v>16</v>
      </c>
    </row>
    <row r="39" spans="1:29" ht="28">
      <c r="A39" s="7" t="s">
        <v>108</v>
      </c>
      <c r="B39" s="15">
        <f t="shared" ref="B39:G39" si="24">10*LOG10(10^((B35+B36)/10)+10^(B37/10))</f>
        <v>-167.00000000000003</v>
      </c>
      <c r="C39" s="15">
        <f t="shared" si="24"/>
        <v>-167.00000000000003</v>
      </c>
      <c r="D39" s="15">
        <f t="shared" si="24"/>
        <v>-167.00000000000003</v>
      </c>
      <c r="E39" s="15">
        <f t="shared" si="24"/>
        <v>-167.00000000000003</v>
      </c>
      <c r="F39" s="15">
        <f t="shared" si="24"/>
        <v>-164</v>
      </c>
      <c r="G39" s="15">
        <f t="shared" si="2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5">10*LOG10(10^((L35+L36)/10)+10^(L37/10))</f>
        <v>-163.58607314841774</v>
      </c>
      <c r="M39" s="15">
        <f t="shared" si="25"/>
        <v>-163.58607314841774</v>
      </c>
      <c r="N39" s="8">
        <f t="shared" ref="N39:S39" si="26">10*LOG10(10^((N35+N36)/10)+10^(N37/10))</f>
        <v>-166.20990250347435</v>
      </c>
      <c r="O39" s="8">
        <f t="shared" si="26"/>
        <v>-166.20990250347435</v>
      </c>
      <c r="P39" s="15">
        <f t="shared" si="26"/>
        <v>-167.00000000000003</v>
      </c>
      <c r="Q39" s="15">
        <f t="shared" si="26"/>
        <v>-167.00000000000003</v>
      </c>
      <c r="R39" s="15">
        <f t="shared" si="26"/>
        <v>-167.00000000000003</v>
      </c>
      <c r="S39" s="15">
        <f t="shared" si="2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108">
        <f t="shared" ref="X39:Y39" si="27">10*LOG10(10^((X35+X36)/10)+10^(X37/10))</f>
        <v>-166.20990250347435</v>
      </c>
      <c r="Y39" s="108">
        <f t="shared" si="27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8">
        <f t="shared" ref="AB39:AC39" si="28">10*LOG10(10^((AB35+AB36)/10)+10^(AB37/10))</f>
        <v>-167.00000000000003</v>
      </c>
      <c r="AC39" s="108">
        <f t="shared" si="28"/>
        <v>-167.00000000000003</v>
      </c>
    </row>
    <row r="40" spans="1:29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29">48*12*120*1000</f>
        <v>69120000</v>
      </c>
      <c r="C41" s="15">
        <f t="shared" si="29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0">48*12*120*1000</f>
        <v>69120000</v>
      </c>
      <c r="I41" s="73">
        <f t="shared" si="30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1">48*12*120*1000</f>
        <v>69120000</v>
      </c>
      <c r="O41" s="8">
        <f t="shared" si="31"/>
        <v>69120000</v>
      </c>
      <c r="P41" s="15">
        <f t="shared" si="31"/>
        <v>69120000</v>
      </c>
      <c r="Q41" s="15">
        <f t="shared" si="31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2">48*12*120*1000</f>
        <v>69120000</v>
      </c>
      <c r="U41" s="8">
        <f t="shared" si="32"/>
        <v>69120000</v>
      </c>
      <c r="V41" s="8">
        <f>24*12*120*1000</f>
        <v>34560000</v>
      </c>
      <c r="W41" s="8">
        <f>24*12*120*1000</f>
        <v>34560000</v>
      </c>
      <c r="X41" s="108">
        <f t="shared" ref="X41:Y41" si="33">48*12*120*1000</f>
        <v>69120000</v>
      </c>
      <c r="Y41" s="108">
        <f t="shared" si="33"/>
        <v>69120000</v>
      </c>
      <c r="Z41" s="8">
        <f t="shared" ref="X41:AC41" si="34">48*12*120*1000</f>
        <v>69120000</v>
      </c>
      <c r="AA41" s="8">
        <f t="shared" si="34"/>
        <v>69120000</v>
      </c>
      <c r="AB41" s="108">
        <f t="shared" si="34"/>
        <v>69120000</v>
      </c>
      <c r="AC41" s="108">
        <f t="shared" si="34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108" t="s">
        <v>16</v>
      </c>
      <c r="Y42" s="108" t="s">
        <v>16</v>
      </c>
      <c r="Z42" s="8" t="s">
        <v>16</v>
      </c>
      <c r="AA42" s="8" t="s">
        <v>16</v>
      </c>
      <c r="AB42" s="108" t="s">
        <v>16</v>
      </c>
      <c r="AC42" s="108" t="s">
        <v>16</v>
      </c>
    </row>
    <row r="43" spans="1:29">
      <c r="A43" s="7" t="s">
        <v>71</v>
      </c>
      <c r="B43" s="15">
        <f t="shared" ref="B43:G43" si="35">B39+10*LOG10(B41)</f>
        <v>-88.603962705291664</v>
      </c>
      <c r="C43" s="15">
        <f t="shared" si="35"/>
        <v>-88.603962705291664</v>
      </c>
      <c r="D43" s="15">
        <f t="shared" si="35"/>
        <v>-91.614262661931477</v>
      </c>
      <c r="E43" s="15">
        <f t="shared" si="35"/>
        <v>-91.614262661931477</v>
      </c>
      <c r="F43" s="15">
        <f t="shared" si="35"/>
        <v>-85.603962705291636</v>
      </c>
      <c r="G43" s="15">
        <f t="shared" si="3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6">L39+10*LOG10(L41)</f>
        <v>-85.190035853709375</v>
      </c>
      <c r="M43" s="15">
        <f t="shared" si="36"/>
        <v>-85.190035853709375</v>
      </c>
      <c r="N43" s="8">
        <f t="shared" ref="N43:S43" si="37">N39+10*LOG10(N41)</f>
        <v>-87.813865208765989</v>
      </c>
      <c r="O43" s="8">
        <f t="shared" si="37"/>
        <v>-87.813865208765989</v>
      </c>
      <c r="P43" s="15">
        <f t="shared" si="37"/>
        <v>-88.603962705291664</v>
      </c>
      <c r="Q43" s="15">
        <f t="shared" si="37"/>
        <v>-88.603962705291664</v>
      </c>
      <c r="R43" s="15">
        <f t="shared" si="37"/>
        <v>-91.614262661931477</v>
      </c>
      <c r="S43" s="15">
        <f t="shared" si="37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108">
        <f t="shared" ref="X43:Y43" si="38">X39+10*LOG10(X41)</f>
        <v>-87.813865208765989</v>
      </c>
      <c r="Y43" s="108">
        <f t="shared" si="38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8">
        <f t="shared" ref="AB43:AC43" si="39">AB39+10*LOG10(AB41)</f>
        <v>-88.603962705291664</v>
      </c>
      <c r="AC43" s="108">
        <f t="shared" si="39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1">
        <v>-7.9</v>
      </c>
      <c r="AC45" s="111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108" t="s">
        <v>16</v>
      </c>
      <c r="Y46" s="108" t="s">
        <v>16</v>
      </c>
      <c r="Z46" s="8" t="s">
        <v>16</v>
      </c>
      <c r="AA46" s="8" t="s">
        <v>16</v>
      </c>
      <c r="AB46" s="108" t="s">
        <v>16</v>
      </c>
      <c r="AC46" s="108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108">
        <v>2</v>
      </c>
      <c r="Y47" s="108">
        <v>2</v>
      </c>
      <c r="Z47" s="8">
        <v>2</v>
      </c>
      <c r="AA47" s="8">
        <v>2</v>
      </c>
      <c r="AB47" s="108">
        <v>2</v>
      </c>
      <c r="AC47" s="108">
        <v>2</v>
      </c>
    </row>
    <row r="48" spans="1:2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108">
        <v>0</v>
      </c>
      <c r="Y48" s="108">
        <v>0</v>
      </c>
      <c r="Z48" s="8">
        <v>0</v>
      </c>
      <c r="AA48" s="8">
        <v>0</v>
      </c>
      <c r="AB48" s="108">
        <v>0</v>
      </c>
      <c r="AC48" s="108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">
      <c r="A50" s="7" t="s">
        <v>80</v>
      </c>
      <c r="B50" s="15">
        <f t="shared" ref="B50:G50" si="40">B43+B45+B47-B48</f>
        <v>-92.00396270529167</v>
      </c>
      <c r="C50" s="15">
        <f t="shared" si="40"/>
        <v>-87.903962705291661</v>
      </c>
      <c r="D50" s="15">
        <f t="shared" si="40"/>
        <v>-94.414262661931474</v>
      </c>
      <c r="E50" s="15">
        <f t="shared" si="40"/>
        <v>-90.114262661931477</v>
      </c>
      <c r="F50" s="15">
        <f t="shared" si="40"/>
        <v>-91.523962705291638</v>
      </c>
      <c r="G50" s="15">
        <f t="shared" si="40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1">L43+L45+L47-L48</f>
        <v>-89.500035853709377</v>
      </c>
      <c r="M50" s="15">
        <f t="shared" si="41"/>
        <v>-85.760035853709368</v>
      </c>
      <c r="N50" s="8">
        <f t="shared" ref="N50:S50" si="42">N43+N45+N47-N48</f>
        <v>-88.063865208765989</v>
      </c>
      <c r="O50" s="8">
        <f t="shared" si="42"/>
        <v>-84.813865208765989</v>
      </c>
      <c r="P50" s="15">
        <f t="shared" si="42"/>
        <v>-94.073962705291663</v>
      </c>
      <c r="Q50" s="15">
        <f t="shared" si="42"/>
        <v>-90.393962705291671</v>
      </c>
      <c r="R50" s="15">
        <f t="shared" si="42"/>
        <v>-93.374262661931482</v>
      </c>
      <c r="S50" s="15">
        <f t="shared" si="42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108">
        <f t="shared" ref="X50:Y50" si="43">X43+X45+X47-X48</f>
        <v>-92.813865208765989</v>
      </c>
      <c r="Y50" s="108">
        <f t="shared" si="43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8">
        <f t="shared" ref="AB50:AC50" si="44">AB43+AB45+AB47-AB48</f>
        <v>-94.50396270529167</v>
      </c>
      <c r="AC50" s="108">
        <f t="shared" si="44"/>
        <v>-90.403962705291661</v>
      </c>
    </row>
    <row r="51" spans="1:29" ht="28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">
      <c r="A52" s="26" t="s">
        <v>83</v>
      </c>
      <c r="B52" s="39">
        <f t="shared" ref="B52:K52" si="45">B25+B30+B33-B34-B50</f>
        <v>146.48239965311853</v>
      </c>
      <c r="C52" s="39">
        <f t="shared" si="45"/>
        <v>142.38239965311851</v>
      </c>
      <c r="D52" s="39">
        <f t="shared" si="45"/>
        <v>145.88239965311851</v>
      </c>
      <c r="E52" s="39">
        <f t="shared" si="45"/>
        <v>141.58239965311853</v>
      </c>
      <c r="F52" s="39">
        <f t="shared" si="45"/>
        <v>140.53239965311849</v>
      </c>
      <c r="G52" s="39">
        <f t="shared" si="45"/>
        <v>137.15239965311849</v>
      </c>
      <c r="H52" s="76">
        <f t="shared" si="45"/>
        <v>145.90239965311855</v>
      </c>
      <c r="I52" s="76">
        <f>I25+I30+I33-I34-I50</f>
        <v>140.97239965311854</v>
      </c>
      <c r="J52" s="76">
        <f t="shared" si="45"/>
        <v>145.74239965311853</v>
      </c>
      <c r="K52" s="76">
        <f t="shared" si="45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46">N25+N30+N33-N34-N50</f>
        <v>142.54230215659285</v>
      </c>
      <c r="O52" s="39">
        <f>O25+O30+O33-O34-O50</f>
        <v>139.29230215659285</v>
      </c>
      <c r="P52" s="39">
        <f t="shared" ref="P52:X52" si="47">P25+P30+P33-P34-P50</f>
        <v>148.55239965311853</v>
      </c>
      <c r="Q52" s="39">
        <f>Q25+Q30+Q33-Q34-Q50</f>
        <v>144.87239965311852</v>
      </c>
      <c r="R52" s="39">
        <f t="shared" si="47"/>
        <v>144.84239965311855</v>
      </c>
      <c r="S52" s="39">
        <f t="shared" si="47"/>
        <v>140.25239965311852</v>
      </c>
      <c r="T52" s="39">
        <f t="shared" si="47"/>
        <v>133.08239965311853</v>
      </c>
      <c r="U52" s="39">
        <f>U25+U30+U33-U34-U50</f>
        <v>129.18239965311852</v>
      </c>
      <c r="V52" s="39">
        <f t="shared" si="47"/>
        <v>131.18239965311852</v>
      </c>
      <c r="W52" s="39">
        <f t="shared" si="47"/>
        <v>127.08239965311853</v>
      </c>
      <c r="X52" s="112">
        <f t="shared" si="47"/>
        <v>147.29230215659285</v>
      </c>
      <c r="Y52" s="112">
        <f>Y25+Y30+Y33-Y34-Y50</f>
        <v>143.49230215659287</v>
      </c>
      <c r="Z52" s="39">
        <f t="shared" ref="Z52" si="48">Z25+Z30+Z33-Z34-Z50</f>
        <v>149.39589965311853</v>
      </c>
      <c r="AA52" s="39">
        <f>AA25+AA30+AA33-AA34-AA50</f>
        <v>146.08239965311853</v>
      </c>
      <c r="AB52" s="112">
        <f t="shared" ref="AB52" si="49">AB25+AB30+AB33-AB34-AB50</f>
        <v>140.01239965311854</v>
      </c>
      <c r="AC52" s="112">
        <f>AC25+AC30+AC33-AC34-AC50</f>
        <v>135.91239965311854</v>
      </c>
    </row>
    <row r="53" spans="1:29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15" t="s">
        <v>16</v>
      </c>
      <c r="Y53" s="115" t="s">
        <v>16</v>
      </c>
      <c r="Z53" s="100" t="s">
        <v>16</v>
      </c>
      <c r="AA53" s="100" t="s">
        <v>16</v>
      </c>
      <c r="AB53" s="115" t="s">
        <v>16</v>
      </c>
      <c r="AC53" s="115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09"/>
      <c r="Y54" s="109"/>
      <c r="Z54" s="14"/>
      <c r="AA54" s="14"/>
      <c r="AB54" s="109"/>
      <c r="AC54" s="109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107">
        <v>8.0299999999999994</v>
      </c>
      <c r="Y55" s="107">
        <v>8.0299999999999994</v>
      </c>
      <c r="Z55" s="86">
        <v>0</v>
      </c>
      <c r="AA55" s="86">
        <v>0</v>
      </c>
      <c r="AB55" s="107">
        <v>0</v>
      </c>
      <c r="AC55" s="107">
        <v>0</v>
      </c>
    </row>
    <row r="56" spans="1:29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7">
        <v>0</v>
      </c>
      <c r="AC56" s="107">
        <v>0</v>
      </c>
    </row>
    <row r="57" spans="1:29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107">
        <v>0</v>
      </c>
      <c r="Y58" s="107">
        <v>0</v>
      </c>
      <c r="Z58" s="86">
        <v>0</v>
      </c>
      <c r="AA58" s="86">
        <v>0</v>
      </c>
      <c r="AB58" s="107">
        <v>0</v>
      </c>
      <c r="AC58" s="107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107">
        <v>0</v>
      </c>
      <c r="Y59" s="107">
        <v>0</v>
      </c>
      <c r="Z59" s="86">
        <v>0</v>
      </c>
      <c r="AA59" s="86">
        <v>0</v>
      </c>
      <c r="AB59" s="107">
        <v>0</v>
      </c>
      <c r="AC59" s="107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107">
        <v>0</v>
      </c>
      <c r="Y60" s="107">
        <v>0</v>
      </c>
      <c r="Z60" s="86">
        <v>0</v>
      </c>
      <c r="AA60" s="86">
        <v>0</v>
      </c>
      <c r="AB60" s="107">
        <v>0</v>
      </c>
      <c r="AC60" s="107">
        <v>0</v>
      </c>
    </row>
    <row r="61" spans="1:29" ht="28">
      <c r="A61" s="26" t="s">
        <v>110</v>
      </c>
      <c r="B61" s="39">
        <f t="shared" ref="B61:K61" si="50">B52-B56+B58-B59+B60</f>
        <v>146.48239965311853</v>
      </c>
      <c r="C61" s="39">
        <f t="shared" si="50"/>
        <v>142.38239965311851</v>
      </c>
      <c r="D61" s="39">
        <f t="shared" si="50"/>
        <v>145.88239965311851</v>
      </c>
      <c r="E61" s="39">
        <f t="shared" si="50"/>
        <v>141.58239965311853</v>
      </c>
      <c r="F61" s="39">
        <f t="shared" si="50"/>
        <v>140.53239965311849</v>
      </c>
      <c r="G61" s="39">
        <f t="shared" si="50"/>
        <v>137.15239965311849</v>
      </c>
      <c r="H61" s="76">
        <f t="shared" si="50"/>
        <v>145.90239965311855</v>
      </c>
      <c r="I61" s="76">
        <f>I52-I56+I58-I59+I60</f>
        <v>140.97239965311854</v>
      </c>
      <c r="J61" s="76">
        <f t="shared" si="50"/>
        <v>145.74239965311853</v>
      </c>
      <c r="K61" s="76">
        <f t="shared" si="50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51">N52-N56+N58-N59+N60</f>
        <v>134.06230215659286</v>
      </c>
      <c r="O61" s="39">
        <f>O52-O56+O58-O59+O60</f>
        <v>130.81230215659286</v>
      </c>
      <c r="P61" s="39">
        <f t="shared" ref="P61:X61" si="52">P52-P56+P58-P59+P60</f>
        <v>148.55239965311853</v>
      </c>
      <c r="Q61" s="39">
        <f>Q52-Q56+Q58-Q59+Q60</f>
        <v>144.87239965311852</v>
      </c>
      <c r="R61" s="39">
        <f t="shared" si="52"/>
        <v>144.84239965311855</v>
      </c>
      <c r="S61" s="39">
        <f t="shared" si="52"/>
        <v>140.25239965311852</v>
      </c>
      <c r="T61" s="27">
        <f t="shared" si="52"/>
        <v>133.08239965311853</v>
      </c>
      <c r="U61" s="27">
        <f>U52-U56+U58-U59+U60</f>
        <v>129.18239965311852</v>
      </c>
      <c r="V61" s="27">
        <f t="shared" si="52"/>
        <v>131.18239965311852</v>
      </c>
      <c r="W61" s="27">
        <f t="shared" si="52"/>
        <v>127.08239965311853</v>
      </c>
      <c r="X61" s="112">
        <f t="shared" si="52"/>
        <v>138.81230215659286</v>
      </c>
      <c r="Y61" s="112">
        <f>Y52-Y56+Y58-Y59+Y60</f>
        <v>135.01230215659288</v>
      </c>
      <c r="Z61" s="39">
        <f t="shared" ref="Z61" si="53">Z52-Z56+Z58-Z59+Z60</f>
        <v>149.39589965311853</v>
      </c>
      <c r="AA61" s="39">
        <f>AA52-AA56+AA58-AA59+AA60</f>
        <v>146.08239965311853</v>
      </c>
      <c r="AB61" s="112">
        <f t="shared" ref="AB61" si="54">AB52-AB56+AB58-AB59+AB60</f>
        <v>140.01239965311854</v>
      </c>
      <c r="AC61" s="112">
        <f>AC52-AC56+AC58-AC59+AC60</f>
        <v>135.91239965311854</v>
      </c>
    </row>
    <row r="62" spans="1:29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15" t="s">
        <v>16</v>
      </c>
      <c r="Y62" s="115" t="s">
        <v>16</v>
      </c>
      <c r="Z62" s="100" t="s">
        <v>16</v>
      </c>
      <c r="AA62" s="100" t="s">
        <v>16</v>
      </c>
      <c r="AB62" s="115" t="s">
        <v>16</v>
      </c>
      <c r="AC62" s="115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5">B17+B22-B50+B21+B33</f>
        <v>113.40000000000003</v>
      </c>
      <c r="C64" s="39">
        <f t="shared" si="55"/>
        <v>109.30000000000004</v>
      </c>
      <c r="D64" s="39">
        <f t="shared" si="55"/>
        <v>112.80000000000004</v>
      </c>
      <c r="E64" s="39">
        <f t="shared" si="55"/>
        <v>108.50000000000003</v>
      </c>
      <c r="F64" s="39">
        <f t="shared" si="55"/>
        <v>112.92000000000002</v>
      </c>
      <c r="G64" s="39">
        <f t="shared" si="5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6">L17+L22-L50+L21+L33</f>
        <v>110.89607314841774</v>
      </c>
      <c r="M64" s="27">
        <f t="shared" si="56"/>
        <v>107.15607314841773</v>
      </c>
      <c r="N64" s="39">
        <f t="shared" ref="N64:S64" si="57">N17+N22-N50+N21+N33</f>
        <v>109.45990250347435</v>
      </c>
      <c r="O64" s="39">
        <f t="shared" si="57"/>
        <v>106.20990250347435</v>
      </c>
      <c r="P64" s="39">
        <f t="shared" si="57"/>
        <v>115.47000000000003</v>
      </c>
      <c r="Q64" s="39">
        <f t="shared" si="57"/>
        <v>111.79000000000005</v>
      </c>
      <c r="R64" s="39">
        <f t="shared" si="57"/>
        <v>111.76000000000005</v>
      </c>
      <c r="S64" s="39">
        <f t="shared" si="57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112">
        <f t="shared" ref="X64:Y64" si="58">X17+X22-X50+X21+X33</f>
        <v>114.20990250347435</v>
      </c>
      <c r="Y64" s="112">
        <f t="shared" si="58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2">
        <f t="shared" ref="AB64:AC64" si="59">AB17+AB22-AB50+AB21+AB33</f>
        <v>115.90000000000003</v>
      </c>
      <c r="AC64" s="112">
        <f t="shared" si="59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15" t="s">
        <v>16</v>
      </c>
      <c r="Y65" s="115" t="s">
        <v>16</v>
      </c>
      <c r="Z65" s="100" t="s">
        <v>16</v>
      </c>
      <c r="AA65" s="100" t="s">
        <v>16</v>
      </c>
      <c r="AB65" s="115" t="s">
        <v>16</v>
      </c>
      <c r="AC65" s="115" t="s">
        <v>16</v>
      </c>
    </row>
  </sheetData>
  <mergeCells count="10">
    <mergeCell ref="AB1:AC1"/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"/>
  <sheetViews>
    <sheetView workbookViewId="0">
      <pane xSplit="1" ySplit="1" topLeftCell="V54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3" width="15.6640625" style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6640625" style="2" customWidth="1"/>
    <col min="21" max="21" width="15.6640625" style="1" customWidth="1"/>
    <col min="22" max="23" width="15.58203125" style="106" customWidth="1"/>
    <col min="24" max="24" width="16.5" style="1" customWidth="1"/>
    <col min="25" max="25" width="14.4140625" style="1" customWidth="1"/>
    <col min="26" max="26" width="15.6640625" style="2" customWidth="1"/>
    <col min="27" max="29" width="15.6640625" style="1" customWidth="1"/>
    <col min="30" max="30" width="15.6640625" style="2" customWidth="1"/>
    <col min="31" max="33" width="15.6640625" style="1" customWidth="1"/>
    <col min="34" max="34" width="15.6640625" style="101" customWidth="1"/>
    <col min="35" max="35" width="15.6640625" style="106" customWidth="1"/>
    <col min="36" max="16384" width="9" style="1"/>
  </cols>
  <sheetData>
    <row r="1" spans="1:35" ht="14.25" customHeight="1">
      <c r="A1" s="3"/>
      <c r="B1" s="121" t="s">
        <v>101</v>
      </c>
      <c r="C1" s="122"/>
      <c r="D1" s="122"/>
      <c r="E1" s="123"/>
      <c r="F1" s="121" t="s">
        <v>102</v>
      </c>
      <c r="G1" s="122"/>
      <c r="H1" s="125" t="s">
        <v>119</v>
      </c>
      <c r="I1" s="126"/>
      <c r="J1" s="126"/>
      <c r="K1" s="127"/>
      <c r="L1" s="121" t="s">
        <v>122</v>
      </c>
      <c r="M1" s="122"/>
      <c r="N1" s="121" t="s">
        <v>126</v>
      </c>
      <c r="O1" s="122"/>
      <c r="P1" s="121" t="s">
        <v>127</v>
      </c>
      <c r="Q1" s="122"/>
      <c r="R1" s="122"/>
      <c r="S1" s="123"/>
      <c r="T1" s="121" t="s">
        <v>128</v>
      </c>
      <c r="U1" s="122"/>
      <c r="V1" s="122"/>
      <c r="W1" s="122"/>
      <c r="X1" s="121" t="s">
        <v>129</v>
      </c>
      <c r="Y1" s="122"/>
      <c r="Z1" s="121" t="s">
        <v>131</v>
      </c>
      <c r="AA1" s="122"/>
      <c r="AB1" s="122"/>
      <c r="AC1" s="123"/>
      <c r="AD1" s="121" t="s">
        <v>132</v>
      </c>
      <c r="AE1" s="122"/>
      <c r="AF1" s="122"/>
      <c r="AG1" s="123"/>
      <c r="AH1" s="130" t="s">
        <v>135</v>
      </c>
      <c r="AI1" s="131"/>
    </row>
    <row r="2" spans="1:3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113" t="s">
        <v>103</v>
      </c>
      <c r="Y2" s="116" t="s">
        <v>104</v>
      </c>
      <c r="Z2" s="31" t="s">
        <v>103</v>
      </c>
      <c r="AA2" s="104" t="s">
        <v>104</v>
      </c>
      <c r="AB2" s="104" t="s">
        <v>105</v>
      </c>
      <c r="AC2" s="104" t="s">
        <v>106</v>
      </c>
      <c r="AD2" s="31" t="s">
        <v>103</v>
      </c>
      <c r="AE2" s="104" t="s">
        <v>104</v>
      </c>
      <c r="AF2" s="104" t="s">
        <v>105</v>
      </c>
      <c r="AG2" s="104" t="s">
        <v>106</v>
      </c>
      <c r="AH2" s="113" t="s">
        <v>103</v>
      </c>
      <c r="AI2" s="114" t="s">
        <v>104</v>
      </c>
    </row>
    <row r="3" spans="1:3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108">
        <v>28</v>
      </c>
      <c r="W3" s="108">
        <v>28</v>
      </c>
      <c r="X3" s="108">
        <v>28</v>
      </c>
      <c r="Y3" s="10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  <c r="AH3" s="108">
        <v>28</v>
      </c>
      <c r="AI3" s="108">
        <v>28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108">
        <v>100</v>
      </c>
      <c r="W4" s="108">
        <v>100</v>
      </c>
      <c r="X4" s="108">
        <v>100</v>
      </c>
      <c r="Y4" s="10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108">
        <v>100</v>
      </c>
      <c r="AI4" s="108">
        <v>100</v>
      </c>
    </row>
    <row r="5" spans="1:3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  <c r="AH5" s="99" t="s">
        <v>16</v>
      </c>
      <c r="AI5" s="99" t="s">
        <v>16</v>
      </c>
    </row>
    <row r="6" spans="1:3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108">
        <v>25000000</v>
      </c>
      <c r="W6" s="108">
        <v>25000000</v>
      </c>
      <c r="X6" s="108">
        <v>25000000</v>
      </c>
      <c r="Y6" s="10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  <c r="AH6" s="108">
        <v>25000000</v>
      </c>
      <c r="AI6" s="108">
        <v>25000000</v>
      </c>
    </row>
    <row r="7" spans="1:3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  <c r="AH7" s="99" t="s">
        <v>16</v>
      </c>
      <c r="AI7" s="99" t="s">
        <v>16</v>
      </c>
    </row>
    <row r="8" spans="1:3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110">
        <v>0.1</v>
      </c>
      <c r="W8" s="110">
        <v>0.1</v>
      </c>
      <c r="X8" s="110">
        <v>0.1</v>
      </c>
      <c r="Y8" s="110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  <c r="AH8" s="110">
        <v>0.1</v>
      </c>
      <c r="AI8" s="110">
        <v>0.1</v>
      </c>
    </row>
    <row r="9" spans="1:3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107" t="s">
        <v>22</v>
      </c>
      <c r="W9" s="107" t="s">
        <v>22</v>
      </c>
      <c r="X9" s="107" t="s">
        <v>22</v>
      </c>
      <c r="Y9" s="107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  <c r="AH9" s="107" t="s">
        <v>22</v>
      </c>
      <c r="AI9" s="107" t="s">
        <v>22</v>
      </c>
    </row>
    <row r="10" spans="1:3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108">
        <v>3</v>
      </c>
      <c r="W10" s="108">
        <v>3</v>
      </c>
      <c r="X10" s="108">
        <v>3</v>
      </c>
      <c r="Y10" s="10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108">
        <v>3</v>
      </c>
      <c r="AI10" s="108">
        <v>3</v>
      </c>
    </row>
    <row r="11" spans="1:3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09"/>
      <c r="W11" s="109"/>
      <c r="X11" s="109"/>
      <c r="Y11" s="109"/>
      <c r="Z11" s="14"/>
      <c r="AA11" s="14"/>
      <c r="AB11" s="14"/>
      <c r="AC11" s="14"/>
      <c r="AD11" s="14"/>
      <c r="AE11" s="14"/>
      <c r="AF11" s="14"/>
      <c r="AG11" s="14"/>
      <c r="AH11" s="109"/>
      <c r="AI11" s="109"/>
    </row>
    <row r="12" spans="1:3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108">
        <v>128</v>
      </c>
      <c r="W12" s="108">
        <v>128</v>
      </c>
      <c r="X12" s="108">
        <v>128</v>
      </c>
      <c r="Y12" s="10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  <c r="AH12" s="108">
        <v>128</v>
      </c>
      <c r="AI12" s="108">
        <v>128</v>
      </c>
    </row>
    <row r="13" spans="1:3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108">
        <v>2</v>
      </c>
      <c r="W13" s="108">
        <v>2</v>
      </c>
      <c r="X13" s="108">
        <v>2</v>
      </c>
      <c r="Y13" s="10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  <c r="AH13" s="108">
        <v>2</v>
      </c>
      <c r="AI13" s="108">
        <v>2</v>
      </c>
    </row>
    <row r="14" spans="1:3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108">
        <v>2</v>
      </c>
      <c r="W14" s="108">
        <v>2</v>
      </c>
      <c r="X14" s="108">
        <v>2</v>
      </c>
      <c r="Y14" s="10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108">
        <v>2</v>
      </c>
      <c r="AI14" s="108">
        <v>2</v>
      </c>
    </row>
    <row r="15" spans="1:3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108">
        <v>3</v>
      </c>
      <c r="W15" s="108">
        <v>3</v>
      </c>
      <c r="X15" s="108">
        <v>3</v>
      </c>
      <c r="Y15" s="10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108">
        <v>3</v>
      </c>
      <c r="AI15" s="108">
        <v>3</v>
      </c>
    </row>
    <row r="16" spans="1:3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 t="shared" ref="T16:Y16" si="3">T15+10*LOG10(T4)</f>
        <v>23</v>
      </c>
      <c r="U16" s="8">
        <f t="shared" si="3"/>
        <v>23</v>
      </c>
      <c r="V16" s="108">
        <f t="shared" si="3"/>
        <v>23</v>
      </c>
      <c r="W16" s="108">
        <f t="shared" si="3"/>
        <v>23</v>
      </c>
      <c r="X16" s="108">
        <f t="shared" si="3"/>
        <v>23</v>
      </c>
      <c r="Y16" s="108">
        <f t="shared" si="3"/>
        <v>23</v>
      </c>
      <c r="Z16" s="8">
        <f t="shared" ref="X16:AI16" si="4">Z15+10*LOG10(Z4)</f>
        <v>23</v>
      </c>
      <c r="AA16" s="8">
        <f t="shared" si="4"/>
        <v>23</v>
      </c>
      <c r="AB16" s="8">
        <f t="shared" si="4"/>
        <v>23</v>
      </c>
      <c r="AC16" s="8">
        <f t="shared" si="4"/>
        <v>23</v>
      </c>
      <c r="AD16" s="8">
        <f t="shared" si="4"/>
        <v>23</v>
      </c>
      <c r="AE16" s="8">
        <f t="shared" si="4"/>
        <v>23</v>
      </c>
      <c r="AF16" s="8">
        <f t="shared" si="4"/>
        <v>23</v>
      </c>
      <c r="AG16" s="8">
        <f t="shared" si="4"/>
        <v>23</v>
      </c>
      <c r="AH16" s="108">
        <f t="shared" si="4"/>
        <v>23</v>
      </c>
      <c r="AI16" s="108">
        <f t="shared" si="4"/>
        <v>23</v>
      </c>
    </row>
    <row r="17" spans="1:35" ht="28">
      <c r="A17" s="7" t="s">
        <v>35</v>
      </c>
      <c r="B17" s="15">
        <f t="shared" ref="B17:G17" si="5">B15+10*LOG10(B42/1000000)</f>
        <v>21.01815168581437</v>
      </c>
      <c r="C17" s="15">
        <f t="shared" si="5"/>
        <v>21.01815168581437</v>
      </c>
      <c r="D17" s="15">
        <f t="shared" si="5"/>
        <v>18.733358400660677</v>
      </c>
      <c r="E17" s="15">
        <f t="shared" si="5"/>
        <v>18.733358400660677</v>
      </c>
      <c r="F17" s="15">
        <f t="shared" si="5"/>
        <v>22.065505191014502</v>
      </c>
      <c r="G17" s="15">
        <f t="shared" si="5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6">L15+10*LOG10(L42/1000000)</f>
        <v>22.779064276371184</v>
      </c>
      <c r="M17" s="13">
        <f t="shared" si="6"/>
        <v>22.779064276371184</v>
      </c>
      <c r="N17" s="8">
        <f t="shared" ref="N17:S17" si="7">N15+10*LOG10(N42/1000000)</f>
        <v>22.779064276371184</v>
      </c>
      <c r="O17" s="8">
        <f t="shared" si="7"/>
        <v>22.779064276371184</v>
      </c>
      <c r="P17" s="15">
        <f t="shared" si="7"/>
        <v>22.779064276371184</v>
      </c>
      <c r="Q17" s="15">
        <f t="shared" si="7"/>
        <v>22.779064276371184</v>
      </c>
      <c r="R17" s="15">
        <f t="shared" si="7"/>
        <v>19.635124704151558</v>
      </c>
      <c r="S17" s="15">
        <f t="shared" si="7"/>
        <v>19.635124704151558</v>
      </c>
      <c r="T17" s="8">
        <f t="shared" ref="T17:Y17" si="8">T15+10*LOG10(T42/1000000)</f>
        <v>22.365137424788934</v>
      </c>
      <c r="U17" s="8">
        <f t="shared" si="8"/>
        <v>22.365137424788934</v>
      </c>
      <c r="V17" s="108">
        <f t="shared" si="8"/>
        <v>19.354837468149121</v>
      </c>
      <c r="W17" s="108">
        <f t="shared" si="8"/>
        <v>19.354837468149121</v>
      </c>
      <c r="X17" s="108">
        <f t="shared" si="8"/>
        <v>22.065505191014502</v>
      </c>
      <c r="Y17" s="108">
        <f t="shared" si="8"/>
        <v>22.065505191014502</v>
      </c>
      <c r="Z17" s="8">
        <f t="shared" ref="X17:AI17" si="9">Z15+10*LOG10(Z42/1000000)</f>
        <v>22.779064276371184</v>
      </c>
      <c r="AA17" s="8">
        <f t="shared" si="9"/>
        <v>22.779064276371184</v>
      </c>
      <c r="AB17" s="8">
        <f t="shared" si="9"/>
        <v>19.635124704151558</v>
      </c>
      <c r="AC17" s="8">
        <f t="shared" si="9"/>
        <v>19.635124704151558</v>
      </c>
      <c r="AD17" s="8">
        <f t="shared" si="9"/>
        <v>22.779064276371184</v>
      </c>
      <c r="AE17" s="8">
        <f t="shared" si="9"/>
        <v>22.779064276371184</v>
      </c>
      <c r="AF17" s="8">
        <f t="shared" si="9"/>
        <v>19.635124704151558</v>
      </c>
      <c r="AG17" s="8">
        <f t="shared" si="9"/>
        <v>19.635124704151558</v>
      </c>
      <c r="AH17" s="108">
        <f t="shared" si="9"/>
        <v>22.365137424788934</v>
      </c>
      <c r="AI17" s="108">
        <f t="shared" si="9"/>
        <v>22.365137424788934</v>
      </c>
    </row>
    <row r="18" spans="1:35" ht="42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20.591799739838873</v>
      </c>
      <c r="G18" s="15">
        <f t="shared" si="10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11">L19+10*LOG10(L12/L13)-L20</f>
        <v>22.581799739838871</v>
      </c>
      <c r="M18" s="13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 t="shared" ref="T18:Y18" si="13">T19+10*LOG10(T12/T13)-T20</f>
        <v>17.061799739838872</v>
      </c>
      <c r="U18" s="8">
        <f t="shared" si="13"/>
        <v>17.061799739838872</v>
      </c>
      <c r="V18" s="108">
        <f t="shared" si="13"/>
        <v>17.061799739838872</v>
      </c>
      <c r="W18" s="108">
        <f t="shared" si="13"/>
        <v>17.061799739838872</v>
      </c>
      <c r="X18" s="108">
        <f t="shared" si="13"/>
        <v>26.061799739838872</v>
      </c>
      <c r="Y18" s="108">
        <f t="shared" si="13"/>
        <v>26.061799739838872</v>
      </c>
      <c r="Z18" s="8">
        <f t="shared" ref="X18:AI18" si="14">Z19+10*LOG10(Z12/Z13)-Z20</f>
        <v>26.061799739838872</v>
      </c>
      <c r="AA18" s="8">
        <f t="shared" si="14"/>
        <v>26.061799739838872</v>
      </c>
      <c r="AB18" s="8">
        <f t="shared" si="14"/>
        <v>26.061799739838872</v>
      </c>
      <c r="AC18" s="8">
        <f t="shared" si="14"/>
        <v>26.061799739838872</v>
      </c>
      <c r="AD18" s="8">
        <f t="shared" si="14"/>
        <v>26.061799739838872</v>
      </c>
      <c r="AE18" s="8">
        <f t="shared" si="14"/>
        <v>26.061799739838872</v>
      </c>
      <c r="AF18" s="8">
        <f t="shared" si="14"/>
        <v>26.061799739838872</v>
      </c>
      <c r="AG18" s="8">
        <f t="shared" si="14"/>
        <v>26.061799739838872</v>
      </c>
      <c r="AH18" s="108">
        <f t="shared" si="14"/>
        <v>17.091799739838869</v>
      </c>
      <c r="AI18" s="108">
        <f t="shared" si="14"/>
        <v>17.091799739838869</v>
      </c>
    </row>
    <row r="19" spans="1:3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108">
        <v>8</v>
      </c>
      <c r="W19" s="108">
        <v>8</v>
      </c>
      <c r="X19" s="108">
        <v>8</v>
      </c>
      <c r="Y19" s="10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  <c r="AH19" s="108">
        <v>8</v>
      </c>
      <c r="AI19" s="108">
        <v>8</v>
      </c>
    </row>
    <row r="20" spans="1:3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107">
        <v>9</v>
      </c>
      <c r="W20" s="107">
        <v>9</v>
      </c>
      <c r="X20" s="107">
        <v>0</v>
      </c>
      <c r="Y20" s="107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107">
        <v>8.9700000000000006</v>
      </c>
      <c r="AI20" s="107">
        <v>8.9700000000000006</v>
      </c>
    </row>
    <row r="21" spans="1:3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107">
        <v>0</v>
      </c>
      <c r="W21" s="107">
        <v>0</v>
      </c>
      <c r="X21" s="107">
        <v>0</v>
      </c>
      <c r="Y21" s="107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07">
        <v>0</v>
      </c>
      <c r="AI21" s="107">
        <v>0</v>
      </c>
    </row>
    <row r="22" spans="1:3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108">
        <v>0</v>
      </c>
      <c r="W22" s="108">
        <v>0</v>
      </c>
      <c r="X22" s="108">
        <v>0</v>
      </c>
      <c r="Y22" s="10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08">
        <v>0</v>
      </c>
      <c r="AI22" s="108">
        <v>0</v>
      </c>
    </row>
    <row r="23" spans="1:3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108">
        <v>0</v>
      </c>
      <c r="W23" s="108">
        <v>0</v>
      </c>
      <c r="X23" s="108">
        <v>0</v>
      </c>
      <c r="Y23" s="10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108">
        <v>0</v>
      </c>
      <c r="AI23" s="108">
        <v>0</v>
      </c>
    </row>
    <row r="24" spans="1:35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108">
        <v>3</v>
      </c>
      <c r="W24" s="108">
        <v>3</v>
      </c>
      <c r="X24" s="108">
        <v>3</v>
      </c>
      <c r="Y24" s="10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  <c r="AH24" s="108">
        <v>3</v>
      </c>
      <c r="AI24" s="108">
        <v>3</v>
      </c>
    </row>
    <row r="25" spans="1:3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  <c r="AH25" s="99" t="s">
        <v>16</v>
      </c>
      <c r="AI25" s="99" t="s">
        <v>16</v>
      </c>
    </row>
    <row r="26" spans="1:35">
      <c r="A26" s="7" t="s">
        <v>51</v>
      </c>
      <c r="B26" s="15">
        <f t="shared" ref="B26:G26" si="15">B17+B18+B21-B23-B24</f>
        <v>44.079951425653242</v>
      </c>
      <c r="C26" s="15">
        <f t="shared" si="15"/>
        <v>44.079951425653242</v>
      </c>
      <c r="D26" s="15">
        <f t="shared" si="15"/>
        <v>41.795158140499552</v>
      </c>
      <c r="E26" s="15">
        <f t="shared" si="15"/>
        <v>41.795158140499552</v>
      </c>
      <c r="F26" s="15">
        <f t="shared" si="15"/>
        <v>39.657304930853371</v>
      </c>
      <c r="G26" s="15">
        <f t="shared" si="15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6">L17+L18+L21-L23-L24</f>
        <v>42.360864016210058</v>
      </c>
      <c r="M26" s="13">
        <f t="shared" si="16"/>
        <v>42.360864016210058</v>
      </c>
      <c r="N26" s="8">
        <f t="shared" ref="N26:S26" si="17">N17+N18+N21-N23-N24</f>
        <v>45.840864016210055</v>
      </c>
      <c r="O26" s="8">
        <f t="shared" si="17"/>
        <v>45.840864016210055</v>
      </c>
      <c r="P26" s="15">
        <f t="shared" si="17"/>
        <v>45.840864016210055</v>
      </c>
      <c r="Q26" s="15">
        <f t="shared" si="17"/>
        <v>45.840864016210055</v>
      </c>
      <c r="R26" s="15">
        <f t="shared" si="17"/>
        <v>42.696924443990426</v>
      </c>
      <c r="S26" s="15">
        <f t="shared" si="17"/>
        <v>42.696924443990426</v>
      </c>
      <c r="T26" s="8">
        <f t="shared" ref="T26:Y26" si="18">T17+T18+T21-T23-T24</f>
        <v>36.426937164627802</v>
      </c>
      <c r="U26" s="8">
        <f t="shared" si="18"/>
        <v>36.426937164627802</v>
      </c>
      <c r="V26" s="108">
        <f t="shared" si="18"/>
        <v>33.416637207987989</v>
      </c>
      <c r="W26" s="108">
        <f t="shared" si="18"/>
        <v>33.416637207987989</v>
      </c>
      <c r="X26" s="108">
        <f t="shared" si="18"/>
        <v>45.12730493085337</v>
      </c>
      <c r="Y26" s="108">
        <f t="shared" si="18"/>
        <v>45.12730493085337</v>
      </c>
      <c r="Z26" s="8">
        <f t="shared" ref="X26:AI26" si="19">Z17+Z18+Z21-Z23-Z24</f>
        <v>45.840864016210055</v>
      </c>
      <c r="AA26" s="8">
        <f t="shared" si="19"/>
        <v>45.840864016210055</v>
      </c>
      <c r="AB26" s="8">
        <f t="shared" si="19"/>
        <v>42.696924443990426</v>
      </c>
      <c r="AC26" s="8">
        <f t="shared" si="19"/>
        <v>42.696924443990426</v>
      </c>
      <c r="AD26" s="8">
        <f t="shared" si="19"/>
        <v>45.840864016210055</v>
      </c>
      <c r="AE26" s="8">
        <f t="shared" si="19"/>
        <v>45.840864016210055</v>
      </c>
      <c r="AF26" s="8">
        <f t="shared" si="19"/>
        <v>42.696924443990426</v>
      </c>
      <c r="AG26" s="8">
        <f t="shared" si="19"/>
        <v>42.696924443990426</v>
      </c>
      <c r="AH26" s="108">
        <f t="shared" si="19"/>
        <v>36.456937164627803</v>
      </c>
      <c r="AI26" s="108">
        <f t="shared" si="19"/>
        <v>36.456937164627803</v>
      </c>
    </row>
    <row r="27" spans="1:3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09"/>
      <c r="W27" s="109"/>
      <c r="X27" s="109"/>
      <c r="Y27" s="109"/>
      <c r="Z27" s="14"/>
      <c r="AA27" s="14"/>
      <c r="AB27" s="14"/>
      <c r="AC27" s="14"/>
      <c r="AD27" s="14"/>
      <c r="AE27" s="14"/>
      <c r="AF27" s="14"/>
      <c r="AG27" s="14"/>
      <c r="AH27" s="109"/>
      <c r="AI27" s="109"/>
    </row>
    <row r="28" spans="1:3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108">
        <v>8</v>
      </c>
      <c r="W28" s="108">
        <v>4</v>
      </c>
      <c r="X28" s="108">
        <v>8</v>
      </c>
      <c r="Y28" s="10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  <c r="AH28" s="108">
        <v>8</v>
      </c>
      <c r="AI28" s="108">
        <v>4</v>
      </c>
    </row>
    <row r="29" spans="1:3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108">
        <v>2</v>
      </c>
      <c r="W29" s="108">
        <v>1</v>
      </c>
      <c r="X29" s="108">
        <v>2</v>
      </c>
      <c r="Y29" s="10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  <c r="AH29" s="108">
        <v>2</v>
      </c>
      <c r="AI29" s="108">
        <v>1</v>
      </c>
    </row>
    <row r="30" spans="1:35" ht="42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21">L31+10*LOG10(L28/L29)-L32</f>
        <v>11.020599913279625</v>
      </c>
      <c r="M30" s="13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 t="shared" ref="T30:Y30" si="23">T31+10*LOG10(T28/T29)-T32</f>
        <v>5.0205999132796251</v>
      </c>
      <c r="U30" s="8">
        <f t="shared" si="23"/>
        <v>5.0205999132796251</v>
      </c>
      <c r="V30" s="108">
        <f t="shared" si="23"/>
        <v>5.0205999132796251</v>
      </c>
      <c r="W30" s="108">
        <f t="shared" si="23"/>
        <v>5.0205999132796251</v>
      </c>
      <c r="X30" s="108">
        <f t="shared" si="23"/>
        <v>11.020599913279625</v>
      </c>
      <c r="Y30" s="108">
        <f t="shared" si="23"/>
        <v>11.020599913279625</v>
      </c>
      <c r="Z30" s="8">
        <f t="shared" ref="X30:AI30" si="24">Z31+10*LOG10(Z28/Z29)-Z32</f>
        <v>11.020599913279625</v>
      </c>
      <c r="AA30" s="8">
        <f t="shared" si="24"/>
        <v>11.020599913279625</v>
      </c>
      <c r="AB30" s="8">
        <f t="shared" si="24"/>
        <v>11.020599913279625</v>
      </c>
      <c r="AC30" s="8">
        <f t="shared" si="24"/>
        <v>11.020599913279625</v>
      </c>
      <c r="AD30" s="8">
        <f t="shared" si="24"/>
        <v>11.020599913279625</v>
      </c>
      <c r="AE30" s="8">
        <f t="shared" si="24"/>
        <v>11.020599913279625</v>
      </c>
      <c r="AF30" s="8">
        <f t="shared" si="24"/>
        <v>11.020599913279625</v>
      </c>
      <c r="AG30" s="8">
        <f t="shared" si="24"/>
        <v>11.020599913279625</v>
      </c>
      <c r="AH30" s="108">
        <f t="shared" si="24"/>
        <v>11.020599913279625</v>
      </c>
      <c r="AI30" s="108">
        <f t="shared" si="24"/>
        <v>11.020599913279625</v>
      </c>
    </row>
    <row r="31" spans="1:3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108">
        <v>5</v>
      </c>
      <c r="W31" s="108">
        <v>5</v>
      </c>
      <c r="X31" s="108">
        <v>5</v>
      </c>
      <c r="Y31" s="10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  <c r="AH31" s="108">
        <v>5</v>
      </c>
      <c r="AI31" s="108">
        <v>5</v>
      </c>
    </row>
    <row r="32" spans="1:35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107">
        <v>6</v>
      </c>
      <c r="W32" s="107">
        <v>6</v>
      </c>
      <c r="X32" s="107">
        <v>0</v>
      </c>
      <c r="Y32" s="107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07">
        <v>0</v>
      </c>
      <c r="AI32" s="107">
        <v>0</v>
      </c>
    </row>
    <row r="33" spans="1:35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108">
        <v>0</v>
      </c>
      <c r="W33" s="108">
        <v>0</v>
      </c>
      <c r="X33" s="108">
        <v>0</v>
      </c>
      <c r="Y33" s="10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108">
        <v>0</v>
      </c>
      <c r="AI33" s="108">
        <v>0</v>
      </c>
    </row>
    <row r="34" spans="1:35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108">
        <v>1</v>
      </c>
      <c r="W34" s="108">
        <v>1</v>
      </c>
      <c r="X34" s="108">
        <v>1</v>
      </c>
      <c r="Y34" s="10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108">
        <v>1</v>
      </c>
      <c r="AI34" s="108">
        <v>1</v>
      </c>
    </row>
    <row r="35" spans="1:3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108">
        <v>7</v>
      </c>
      <c r="W35" s="108">
        <v>7</v>
      </c>
      <c r="X35" s="108">
        <v>7</v>
      </c>
      <c r="Y35" s="10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108">
        <v>7</v>
      </c>
      <c r="AI35" s="108">
        <v>7</v>
      </c>
    </row>
    <row r="36" spans="1:3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108">
        <v>-174</v>
      </c>
      <c r="W36" s="108">
        <v>-174</v>
      </c>
      <c r="X36" s="108">
        <v>-174</v>
      </c>
      <c r="Y36" s="10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108">
        <v>-174</v>
      </c>
      <c r="AI36" s="108">
        <v>-174</v>
      </c>
    </row>
    <row r="37" spans="1:3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108" t="s">
        <v>16</v>
      </c>
      <c r="W37" s="108" t="s">
        <v>16</v>
      </c>
      <c r="X37" s="108" t="s">
        <v>16</v>
      </c>
      <c r="Y37" s="10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108" t="s">
        <v>16</v>
      </c>
      <c r="AI37" s="108" t="s">
        <v>16</v>
      </c>
    </row>
    <row r="38" spans="1:3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107">
        <v>-999</v>
      </c>
      <c r="W38" s="107">
        <v>-999</v>
      </c>
      <c r="X38" s="107">
        <v>-999</v>
      </c>
      <c r="Y38" s="107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  <c r="AH38" s="107">
        <v>-999</v>
      </c>
      <c r="AI38" s="107">
        <v>-999</v>
      </c>
    </row>
    <row r="39" spans="1:35" ht="28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  <c r="AH39" s="99" t="s">
        <v>16</v>
      </c>
      <c r="AI39" s="99" t="s">
        <v>16</v>
      </c>
    </row>
    <row r="40" spans="1:35" ht="28">
      <c r="A40" s="7" t="s">
        <v>109</v>
      </c>
      <c r="B40" s="15">
        <f t="shared" ref="B40:G40" si="25">10*LOG10(10^((B35+B36)/10)+10^(B38/10))</f>
        <v>-167.00000000000003</v>
      </c>
      <c r="C40" s="15">
        <f t="shared" si="25"/>
        <v>-167.00000000000003</v>
      </c>
      <c r="D40" s="15">
        <f t="shared" si="25"/>
        <v>-167.00000000000003</v>
      </c>
      <c r="E40" s="15">
        <f t="shared" si="25"/>
        <v>-167.00000000000003</v>
      </c>
      <c r="F40" s="15">
        <f t="shared" si="25"/>
        <v>-164</v>
      </c>
      <c r="G40" s="15">
        <f t="shared" si="25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6">10*LOG10(10^((L35+L36)/10)+10^(L38/10))</f>
        <v>-163.58607314841774</v>
      </c>
      <c r="M40" s="13">
        <f t="shared" si="26"/>
        <v>-163.58607314841774</v>
      </c>
      <c r="N40" s="8">
        <f t="shared" ref="N40:S40" si="27">10*LOG10(10^((N35+N36)/10)+10^(N38/10))</f>
        <v>-166.20990250347435</v>
      </c>
      <c r="O40" s="8">
        <f t="shared" si="27"/>
        <v>-166.20990250347435</v>
      </c>
      <c r="P40" s="15">
        <f t="shared" si="27"/>
        <v>-167.00000000000003</v>
      </c>
      <c r="Q40" s="15">
        <f t="shared" si="27"/>
        <v>-167.00000000000003</v>
      </c>
      <c r="R40" s="15">
        <f t="shared" si="27"/>
        <v>-167.00000000000003</v>
      </c>
      <c r="S40" s="15">
        <f t="shared" si="27"/>
        <v>-167.00000000000003</v>
      </c>
      <c r="T40" s="8">
        <f t="shared" ref="T40:Y40" si="28">10*LOG10(10^((T35+T36)/10)+10^(T38/10))</f>
        <v>-167.00000000000003</v>
      </c>
      <c r="U40" s="8">
        <f t="shared" si="28"/>
        <v>-167.00000000000003</v>
      </c>
      <c r="V40" s="108">
        <f t="shared" si="28"/>
        <v>-167.00000000000003</v>
      </c>
      <c r="W40" s="108">
        <f t="shared" si="28"/>
        <v>-167.00000000000003</v>
      </c>
      <c r="X40" s="108">
        <f t="shared" si="28"/>
        <v>-167.00000000000003</v>
      </c>
      <c r="Y40" s="108">
        <f t="shared" si="28"/>
        <v>-167.00000000000003</v>
      </c>
      <c r="Z40" s="8">
        <f t="shared" ref="X40:AI40" si="29">10*LOG10(10^((Z35+Z36)/10)+10^(Z38/10))</f>
        <v>-167.00000000000003</v>
      </c>
      <c r="AA40" s="8">
        <f t="shared" si="29"/>
        <v>-167.00000000000003</v>
      </c>
      <c r="AB40" s="8">
        <f t="shared" si="29"/>
        <v>-167.00000000000003</v>
      </c>
      <c r="AC40" s="8">
        <f t="shared" si="29"/>
        <v>-167.00000000000003</v>
      </c>
      <c r="AD40" s="8">
        <f t="shared" si="29"/>
        <v>-167.00000000000003</v>
      </c>
      <c r="AE40" s="8">
        <f t="shared" si="29"/>
        <v>-167.00000000000003</v>
      </c>
      <c r="AF40" s="8">
        <f t="shared" si="29"/>
        <v>-167.00000000000003</v>
      </c>
      <c r="AG40" s="8">
        <f t="shared" si="29"/>
        <v>-167.00000000000003</v>
      </c>
      <c r="AH40" s="108">
        <f t="shared" si="29"/>
        <v>-167.00000000000003</v>
      </c>
      <c r="AI40" s="108">
        <f t="shared" si="29"/>
        <v>-167.00000000000003</v>
      </c>
    </row>
    <row r="41" spans="1:3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108" t="s">
        <v>16</v>
      </c>
      <c r="W41" s="108" t="s">
        <v>16</v>
      </c>
      <c r="X41" s="108" t="s">
        <v>16</v>
      </c>
      <c r="Y41" s="10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108" t="s">
        <v>16</v>
      </c>
      <c r="AI41" s="108" t="s">
        <v>16</v>
      </c>
    </row>
    <row r="42" spans="1:35">
      <c r="A42" s="36" t="s">
        <v>70</v>
      </c>
      <c r="B42" s="25">
        <f t="shared" ref="B42:G42" si="30">44*12*120*1000</f>
        <v>63360000</v>
      </c>
      <c r="C42" s="25">
        <f t="shared" si="30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30"/>
        <v>63360000</v>
      </c>
      <c r="H42" s="83">
        <f>60*12*120*1000</f>
        <v>86400000</v>
      </c>
      <c r="I42" s="83">
        <f t="shared" ref="I42" si="31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32">66*12*120*1000</f>
        <v>95040000</v>
      </c>
      <c r="M42" s="92">
        <f t="shared" si="32"/>
        <v>95040000</v>
      </c>
      <c r="N42" s="88">
        <f t="shared" si="32"/>
        <v>95040000</v>
      </c>
      <c r="O42" s="88">
        <f t="shared" si="32"/>
        <v>95040000</v>
      </c>
      <c r="P42" s="92">
        <f t="shared" si="32"/>
        <v>95040000</v>
      </c>
      <c r="Q42" s="92">
        <f t="shared" si="32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33">60*12*120*1000</f>
        <v>86400000</v>
      </c>
      <c r="V42" s="111">
        <f>30*12*120*1000</f>
        <v>43200000</v>
      </c>
      <c r="W42" s="111">
        <f>30*12*120*1000</f>
        <v>43200000</v>
      </c>
      <c r="X42" s="92">
        <f>56*12*120*1000</f>
        <v>80640000</v>
      </c>
      <c r="Y42" s="92">
        <f>56*12*120*1000</f>
        <v>80640000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  <c r="AH42" s="111">
        <f>60*12*120*1000</f>
        <v>86400000</v>
      </c>
      <c r="AI42" s="111">
        <f t="shared" ref="AI42" si="34">60*12*120*1000</f>
        <v>86400000</v>
      </c>
    </row>
    <row r="43" spans="1:3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108" t="s">
        <v>16</v>
      </c>
      <c r="W43" s="108" t="s">
        <v>16</v>
      </c>
      <c r="X43" s="108" t="s">
        <v>16</v>
      </c>
      <c r="Y43" s="10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  <c r="AH43" s="108" t="s">
        <v>16</v>
      </c>
      <c r="AI43" s="108" t="s">
        <v>16</v>
      </c>
    </row>
    <row r="44" spans="1:35">
      <c r="A44" s="7" t="s">
        <v>72</v>
      </c>
      <c r="B44" s="15">
        <f t="shared" ref="B44:G44" si="35">B40+10*LOG10(B42)</f>
        <v>-88.981848314185655</v>
      </c>
      <c r="C44" s="15">
        <f t="shared" si="35"/>
        <v>-88.981848314185655</v>
      </c>
      <c r="D44" s="15">
        <f t="shared" si="35"/>
        <v>-91.266641599339351</v>
      </c>
      <c r="E44" s="15">
        <f t="shared" si="35"/>
        <v>-91.266641599339351</v>
      </c>
      <c r="F44" s="15">
        <f t="shared" si="35"/>
        <v>-84.934494808985505</v>
      </c>
      <c r="G44" s="15">
        <f t="shared" si="35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36">L40+10*LOG10(L42)</f>
        <v>-83.807008872046552</v>
      </c>
      <c r="M44" s="13">
        <f t="shared" si="36"/>
        <v>-83.807008872046552</v>
      </c>
      <c r="N44" s="8">
        <f t="shared" ref="N44:S44" si="37">N40+10*LOG10(N42)</f>
        <v>-86.430838227103166</v>
      </c>
      <c r="O44" s="8">
        <f t="shared" si="37"/>
        <v>-86.430838227103166</v>
      </c>
      <c r="P44" s="15">
        <f t="shared" si="37"/>
        <v>-87.220935723628841</v>
      </c>
      <c r="Q44" s="15">
        <f t="shared" si="37"/>
        <v>-87.220935723628841</v>
      </c>
      <c r="R44" s="15">
        <f t="shared" si="37"/>
        <v>-90.364875295848478</v>
      </c>
      <c r="S44" s="15">
        <f t="shared" si="37"/>
        <v>-90.364875295848478</v>
      </c>
      <c r="T44" s="8">
        <f t="shared" ref="T44:Y44" si="38">T40+10*LOG10(T42)</f>
        <v>-87.634862575211102</v>
      </c>
      <c r="U44" s="8">
        <f t="shared" si="38"/>
        <v>-87.634862575211102</v>
      </c>
      <c r="V44" s="108">
        <f t="shared" si="38"/>
        <v>-90.645162531850914</v>
      </c>
      <c r="W44" s="108">
        <f t="shared" si="38"/>
        <v>-90.645162531850914</v>
      </c>
      <c r="X44" s="108">
        <f t="shared" si="38"/>
        <v>-87.934494808985534</v>
      </c>
      <c r="Y44" s="108">
        <f t="shared" si="38"/>
        <v>-87.934494808985534</v>
      </c>
      <c r="Z44" s="8">
        <f t="shared" ref="X44:AI44" si="39">Z40+10*LOG10(Z42)</f>
        <v>-87.220935723628841</v>
      </c>
      <c r="AA44" s="8">
        <f t="shared" si="39"/>
        <v>-87.220935723628841</v>
      </c>
      <c r="AB44" s="8">
        <f t="shared" si="39"/>
        <v>-90.364875295848478</v>
      </c>
      <c r="AC44" s="8">
        <f t="shared" si="39"/>
        <v>-90.364875295848478</v>
      </c>
      <c r="AD44" s="8">
        <f t="shared" si="39"/>
        <v>-87.220935723628841</v>
      </c>
      <c r="AE44" s="8">
        <f t="shared" si="39"/>
        <v>-87.220935723628841</v>
      </c>
      <c r="AF44" s="8">
        <f t="shared" si="39"/>
        <v>-90.364875295848478</v>
      </c>
      <c r="AG44" s="8">
        <f t="shared" si="39"/>
        <v>-90.364875295848478</v>
      </c>
      <c r="AH44" s="108">
        <f t="shared" si="39"/>
        <v>-87.634862575211102</v>
      </c>
      <c r="AI44" s="108">
        <f t="shared" si="39"/>
        <v>-87.634862575211102</v>
      </c>
    </row>
    <row r="45" spans="1:3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108" t="s">
        <v>16</v>
      </c>
      <c r="W45" s="108" t="s">
        <v>16</v>
      </c>
      <c r="X45" s="108" t="s">
        <v>16</v>
      </c>
      <c r="Y45" s="10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108" t="s">
        <v>16</v>
      </c>
      <c r="AI45" s="108" t="s">
        <v>16</v>
      </c>
    </row>
    <row r="46" spans="1:3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111">
        <v>1.3</v>
      </c>
      <c r="W46" s="111">
        <v>6</v>
      </c>
      <c r="X46" s="92">
        <v>-1.59</v>
      </c>
      <c r="Y46" s="92">
        <v>2.52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  <c r="AH46" s="111">
        <v>0</v>
      </c>
      <c r="AI46" s="111">
        <v>4.0999999999999996</v>
      </c>
    </row>
    <row r="47" spans="1:3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108">
        <v>2</v>
      </c>
      <c r="W47" s="108">
        <v>2</v>
      </c>
      <c r="X47" s="108">
        <v>2</v>
      </c>
      <c r="Y47" s="10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108">
        <v>2</v>
      </c>
      <c r="AI47" s="108">
        <v>2</v>
      </c>
    </row>
    <row r="48" spans="1:35" ht="28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108" t="s">
        <v>16</v>
      </c>
      <c r="W48" s="108" t="s">
        <v>16</v>
      </c>
      <c r="X48" s="108" t="s">
        <v>16</v>
      </c>
      <c r="Y48" s="10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108" t="s">
        <v>16</v>
      </c>
      <c r="AI48" s="108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08">
        <v>0</v>
      </c>
      <c r="W49" s="108">
        <v>0</v>
      </c>
      <c r="X49" s="108">
        <v>0</v>
      </c>
      <c r="Y49" s="10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108">
        <v>0</v>
      </c>
      <c r="AI49" s="108">
        <v>0</v>
      </c>
    </row>
    <row r="50" spans="1:3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  <c r="AH50" s="99" t="s">
        <v>16</v>
      </c>
      <c r="AI50" s="99" t="s">
        <v>16</v>
      </c>
    </row>
    <row r="51" spans="1:35" ht="28">
      <c r="A51" s="7" t="s">
        <v>82</v>
      </c>
      <c r="B51" s="15">
        <f t="shared" ref="B51:G51" si="40">B44+B46+B47-B49</f>
        <v>-87.181848314185658</v>
      </c>
      <c r="C51" s="15">
        <f t="shared" si="40"/>
        <v>-82.281848314185652</v>
      </c>
      <c r="D51" s="15">
        <f t="shared" si="40"/>
        <v>-85.166641599339357</v>
      </c>
      <c r="E51" s="15">
        <f t="shared" si="40"/>
        <v>-79.066641599339349</v>
      </c>
      <c r="F51" s="15">
        <f t="shared" si="40"/>
        <v>-84.834494808985511</v>
      </c>
      <c r="G51" s="15">
        <f t="shared" si="40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41">L44+L46+L47-L49</f>
        <v>-83.597008872046558</v>
      </c>
      <c r="M51" s="13">
        <f t="shared" si="41"/>
        <v>-78.447008872046553</v>
      </c>
      <c r="N51" s="8">
        <f t="shared" ref="N51:S51" si="42">N44+N46+N47-N49</f>
        <v>-83.430838227103166</v>
      </c>
      <c r="O51" s="8">
        <f t="shared" si="42"/>
        <v>-80.130838227103169</v>
      </c>
      <c r="P51" s="15">
        <f t="shared" si="42"/>
        <v>-87.110935723628842</v>
      </c>
      <c r="Q51" s="15">
        <f t="shared" si="42"/>
        <v>-82.570935723628835</v>
      </c>
      <c r="R51" s="15">
        <f t="shared" si="42"/>
        <v>-84.664875295848475</v>
      </c>
      <c r="S51" s="15">
        <f t="shared" si="42"/>
        <v>-78.564875295848481</v>
      </c>
      <c r="T51" s="8">
        <f t="shared" ref="T51:Y51" si="43">T44+T46+T47-T49</f>
        <v>-87.934862575211099</v>
      </c>
      <c r="U51" s="8">
        <f t="shared" si="43"/>
        <v>-83.934862575211099</v>
      </c>
      <c r="V51" s="108">
        <f t="shared" si="43"/>
        <v>-87.345162531850917</v>
      </c>
      <c r="W51" s="108">
        <f t="shared" si="43"/>
        <v>-82.645162531850914</v>
      </c>
      <c r="X51" s="108">
        <f t="shared" si="43"/>
        <v>-87.524494808985537</v>
      </c>
      <c r="Y51" s="108">
        <f t="shared" si="43"/>
        <v>-83.414494808985538</v>
      </c>
      <c r="Z51" s="8">
        <f t="shared" ref="X51:AI51" si="44">Z44+Z46+Z47-Z49</f>
        <v>-86.049535723628836</v>
      </c>
      <c r="AA51" s="8">
        <f t="shared" si="44"/>
        <v>-81.816235723628836</v>
      </c>
      <c r="AB51" s="8">
        <f t="shared" si="44"/>
        <v>-85.732075295848475</v>
      </c>
      <c r="AC51" s="8">
        <f t="shared" si="44"/>
        <v>-80.682175295848481</v>
      </c>
      <c r="AD51" s="8">
        <f t="shared" si="44"/>
        <v>-89.375335723628837</v>
      </c>
      <c r="AE51" s="8">
        <f t="shared" si="44"/>
        <v>-86.21233572362884</v>
      </c>
      <c r="AF51" s="8">
        <f t="shared" si="44"/>
        <v>-89.407875295848484</v>
      </c>
      <c r="AG51" s="8">
        <f t="shared" si="44"/>
        <v>-85.641375295848476</v>
      </c>
      <c r="AH51" s="108">
        <f t="shared" si="44"/>
        <v>-85.634862575211102</v>
      </c>
      <c r="AI51" s="108">
        <f t="shared" si="44"/>
        <v>-81.534862575211108</v>
      </c>
    </row>
    <row r="52" spans="1:3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15" t="s">
        <v>16</v>
      </c>
      <c r="W52" s="115" t="s">
        <v>16</v>
      </c>
      <c r="X52" s="115" t="s">
        <v>16</v>
      </c>
      <c r="Y52" s="115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  <c r="AH52" s="115" t="s">
        <v>16</v>
      </c>
      <c r="AI52" s="115" t="s">
        <v>16</v>
      </c>
    </row>
    <row r="53" spans="1:35" ht="28">
      <c r="A53" s="26" t="s">
        <v>85</v>
      </c>
      <c r="B53" s="39">
        <f t="shared" ref="B53:K53" si="45">B26+B30+B33-B34-B51</f>
        <v>141.28239965311852</v>
      </c>
      <c r="C53" s="39">
        <f t="shared" si="45"/>
        <v>136.38239965311851</v>
      </c>
      <c r="D53" s="39">
        <f t="shared" si="45"/>
        <v>136.98239965311853</v>
      </c>
      <c r="E53" s="39">
        <f t="shared" si="45"/>
        <v>130.88239965311851</v>
      </c>
      <c r="F53" s="39">
        <f t="shared" si="45"/>
        <v>134.51239965311851</v>
      </c>
      <c r="G53" s="39">
        <f t="shared" si="45"/>
        <v>129.16239965311848</v>
      </c>
      <c r="H53" s="76">
        <f t="shared" si="45"/>
        <v>142.89239965311853</v>
      </c>
      <c r="I53" s="76">
        <f>I26+I30+I33-I34-I51</f>
        <v>138.79239965311854</v>
      </c>
      <c r="J53" s="76">
        <f t="shared" si="45"/>
        <v>137.22239965311852</v>
      </c>
      <c r="K53" s="76">
        <f t="shared" si="45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46">N26+N30+N33-N34-N51</f>
        <v>139.29230215659285</v>
      </c>
      <c r="O53" s="39">
        <f>O26+O30+O33-O34-O51</f>
        <v>135.99230215659284</v>
      </c>
      <c r="P53" s="39">
        <f t="shared" ref="P53:S53" si="47">P26+P30+P33-P34-P51</f>
        <v>142.97239965311852</v>
      </c>
      <c r="Q53" s="39">
        <f>Q26+Q30+Q33-Q34-Q51</f>
        <v>138.43239965311852</v>
      </c>
      <c r="R53" s="39">
        <f t="shared" si="47"/>
        <v>137.38239965311851</v>
      </c>
      <c r="S53" s="39">
        <f t="shared" si="47"/>
        <v>131.28239965311855</v>
      </c>
      <c r="T53" s="39">
        <f>T26+T30+T33-T34-T51</f>
        <v>128.38239965311851</v>
      </c>
      <c r="U53" s="39">
        <f>U26+U30+U33-U34-U51</f>
        <v>124.38239965311853</v>
      </c>
      <c r="V53" s="112">
        <f t="shared" ref="V53:X53" si="48">V26+V30+V33-V34-V51</f>
        <v>124.78239965311853</v>
      </c>
      <c r="W53" s="112">
        <f t="shared" si="48"/>
        <v>120.08239965311853</v>
      </c>
      <c r="X53" s="112">
        <f t="shared" si="48"/>
        <v>142.67239965311853</v>
      </c>
      <c r="Y53" s="112">
        <f>Y26+Y30+Y33-Y34-Y51</f>
        <v>138.56239965311852</v>
      </c>
      <c r="Z53" s="39">
        <f t="shared" ref="Z53:AD53" si="49">Z26+Z30+Z33-Z34-Z51</f>
        <v>141.91099965311852</v>
      </c>
      <c r="AA53" s="39">
        <f>AA26+AA30+AA33-AA34-AA51</f>
        <v>137.67769965311851</v>
      </c>
      <c r="AB53" s="39">
        <f t="shared" si="49"/>
        <v>138.44959965311853</v>
      </c>
      <c r="AC53" s="39">
        <f t="shared" si="49"/>
        <v>133.39969965311855</v>
      </c>
      <c r="AD53" s="39">
        <f t="shared" si="49"/>
        <v>145.23679965311851</v>
      </c>
      <c r="AE53" s="39">
        <f>AE26+AE30+AE33-AE34-AE51</f>
        <v>142.07379965311853</v>
      </c>
      <c r="AF53" s="39">
        <f t="shared" ref="AF53:AH53" si="50">AF26+AF30+AF33-AF34-AF51</f>
        <v>142.12539965311854</v>
      </c>
      <c r="AG53" s="39">
        <f t="shared" si="50"/>
        <v>138.35889965311853</v>
      </c>
      <c r="AH53" s="112">
        <f t="shared" si="50"/>
        <v>132.11239965311853</v>
      </c>
      <c r="AI53" s="112">
        <f>AI26+AI30+AI33-AI34-AI51</f>
        <v>128.01239965311854</v>
      </c>
    </row>
    <row r="54" spans="1:3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09"/>
      <c r="W54" s="109"/>
      <c r="X54" s="109"/>
      <c r="Y54" s="109"/>
      <c r="Z54" s="14"/>
      <c r="AA54" s="14"/>
      <c r="AB54" s="14"/>
      <c r="AC54" s="14"/>
      <c r="AD54" s="14"/>
      <c r="AE54" s="14"/>
      <c r="AF54" s="14"/>
      <c r="AG54" s="14"/>
      <c r="AH54" s="109"/>
      <c r="AI54" s="109"/>
    </row>
    <row r="55" spans="1:3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107">
        <v>0</v>
      </c>
      <c r="W55" s="107">
        <v>0</v>
      </c>
      <c r="X55" s="107">
        <v>0</v>
      </c>
      <c r="Y55" s="107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107">
        <v>0</v>
      </c>
      <c r="AI55" s="107">
        <v>0</v>
      </c>
    </row>
    <row r="56" spans="1:3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  <c r="AH56" s="99" t="s">
        <v>16</v>
      </c>
      <c r="AI56" s="99" t="s">
        <v>16</v>
      </c>
    </row>
    <row r="57" spans="1:3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107">
        <v>0</v>
      </c>
      <c r="W57" s="107">
        <v>0</v>
      </c>
      <c r="X57" s="107">
        <v>0</v>
      </c>
      <c r="Y57" s="107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107">
        <v>0</v>
      </c>
      <c r="AI57" s="107">
        <v>0</v>
      </c>
    </row>
    <row r="58" spans="1:3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107">
        <v>0</v>
      </c>
      <c r="W58" s="107">
        <v>0</v>
      </c>
      <c r="X58" s="107">
        <v>0</v>
      </c>
      <c r="Y58" s="107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107">
        <v>0</v>
      </c>
      <c r="AI58" s="107">
        <v>0</v>
      </c>
    </row>
    <row r="59" spans="1:3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107">
        <v>0</v>
      </c>
      <c r="W59" s="107">
        <v>0</v>
      </c>
      <c r="X59" s="107">
        <v>0</v>
      </c>
      <c r="Y59" s="107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107">
        <v>0</v>
      </c>
      <c r="AI59" s="107">
        <v>0</v>
      </c>
    </row>
    <row r="60" spans="1:3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107">
        <v>0</v>
      </c>
      <c r="W60" s="107">
        <v>0</v>
      </c>
      <c r="X60" s="107">
        <v>0</v>
      </c>
      <c r="Y60" s="107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107">
        <v>0</v>
      </c>
      <c r="AI60" s="107">
        <v>0</v>
      </c>
    </row>
    <row r="61" spans="1:3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15" t="s">
        <v>16</v>
      </c>
      <c r="W61" s="115" t="s">
        <v>16</v>
      </c>
      <c r="X61" s="115" t="s">
        <v>16</v>
      </c>
      <c r="Y61" s="115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  <c r="AH61" s="115" t="s">
        <v>16</v>
      </c>
      <c r="AI61" s="115" t="s">
        <v>16</v>
      </c>
    </row>
    <row r="62" spans="1:35" ht="28">
      <c r="A62" s="26" t="s">
        <v>111</v>
      </c>
      <c r="B62" s="39">
        <f t="shared" ref="B62:K62" si="51">B53-B57+B58-B59+B60</f>
        <v>141.28239965311852</v>
      </c>
      <c r="C62" s="39">
        <f t="shared" si="51"/>
        <v>136.38239965311851</v>
      </c>
      <c r="D62" s="39">
        <f t="shared" si="51"/>
        <v>136.98239965311853</v>
      </c>
      <c r="E62" s="39">
        <f t="shared" si="51"/>
        <v>130.88239965311851</v>
      </c>
      <c r="F62" s="39">
        <f t="shared" si="51"/>
        <v>134.51239965311851</v>
      </c>
      <c r="G62" s="39">
        <f t="shared" si="51"/>
        <v>129.16239965311848</v>
      </c>
      <c r="H62" s="76">
        <f t="shared" si="51"/>
        <v>142.89239965311853</v>
      </c>
      <c r="I62" s="76">
        <f>I53-I57+I58-I59+I60</f>
        <v>138.79239965311854</v>
      </c>
      <c r="J62" s="76">
        <f t="shared" si="51"/>
        <v>137.22239965311852</v>
      </c>
      <c r="K62" s="76">
        <f t="shared" si="51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52">N53-N57+N58-N59+N60</f>
        <v>134.11230215659285</v>
      </c>
      <c r="O62" s="39">
        <f>O53-O57+O58-O59+O60</f>
        <v>130.81230215659284</v>
      </c>
      <c r="P62" s="39">
        <f t="shared" ref="P62:S62" si="53">P53-P57+P58-P59+P60</f>
        <v>142.97239965311852</v>
      </c>
      <c r="Q62" s="39">
        <f>Q53-Q57+Q58-Q59+Q60</f>
        <v>138.43239965311852</v>
      </c>
      <c r="R62" s="39">
        <f t="shared" si="53"/>
        <v>137.38239965311851</v>
      </c>
      <c r="S62" s="39">
        <f t="shared" si="53"/>
        <v>131.28239965311855</v>
      </c>
      <c r="T62" s="39">
        <f>T53-T57+T58-T59+T60</f>
        <v>128.38239965311851</v>
      </c>
      <c r="U62" s="39">
        <f>U53-U57+U58-U59+U60</f>
        <v>124.38239965311853</v>
      </c>
      <c r="V62" s="112">
        <f t="shared" ref="V62:X62" si="54">V53-V57+V58-V59+V60</f>
        <v>124.78239965311853</v>
      </c>
      <c r="W62" s="112">
        <f t="shared" si="54"/>
        <v>120.08239965311853</v>
      </c>
      <c r="X62" s="112">
        <f t="shared" si="54"/>
        <v>142.67239965311853</v>
      </c>
      <c r="Y62" s="112">
        <f>Y53-Y57+Y58-Y59+Y60</f>
        <v>138.56239965311852</v>
      </c>
      <c r="Z62" s="39">
        <f t="shared" ref="Z62:AD62" si="55">Z53-Z57+Z58-Z59+Z60</f>
        <v>141.91099965311852</v>
      </c>
      <c r="AA62" s="39">
        <f>AA53-AA57+AA58-AA59+AA60</f>
        <v>137.67769965311851</v>
      </c>
      <c r="AB62" s="39">
        <f t="shared" si="55"/>
        <v>138.44959965311853</v>
      </c>
      <c r="AC62" s="39">
        <f t="shared" si="55"/>
        <v>133.39969965311855</v>
      </c>
      <c r="AD62" s="39">
        <f t="shared" si="55"/>
        <v>145.23679965311851</v>
      </c>
      <c r="AE62" s="39">
        <f>AE53-AE57+AE58-AE59+AE60</f>
        <v>142.07379965311853</v>
      </c>
      <c r="AF62" s="39">
        <f t="shared" ref="AF62:AH62" si="56">AF53-AF57+AF58-AF59+AF60</f>
        <v>142.12539965311854</v>
      </c>
      <c r="AG62" s="39">
        <f t="shared" si="56"/>
        <v>138.35889965311853</v>
      </c>
      <c r="AH62" s="112">
        <f t="shared" si="56"/>
        <v>132.11239965311853</v>
      </c>
      <c r="AI62" s="112">
        <f>AI53-AI57+AI58-AI59+AI60</f>
        <v>128.01239965311854</v>
      </c>
    </row>
    <row r="63" spans="1:3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I63" s="101"/>
    </row>
    <row r="64" spans="1:3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15" t="s">
        <v>16</v>
      </c>
      <c r="Y64" s="115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  <c r="AH64" s="115" t="s">
        <v>16</v>
      </c>
      <c r="AI64" s="115" t="s">
        <v>16</v>
      </c>
    </row>
    <row r="65" spans="1:35">
      <c r="A65" s="26" t="s">
        <v>98</v>
      </c>
      <c r="B65" s="39">
        <f t="shared" ref="B65:K65" si="57">B17-B23-B51+B21+B33</f>
        <v>108.20000000000003</v>
      </c>
      <c r="C65" s="39">
        <f t="shared" si="57"/>
        <v>103.30000000000003</v>
      </c>
      <c r="D65" s="39">
        <f t="shared" si="57"/>
        <v>103.90000000000003</v>
      </c>
      <c r="E65" s="39">
        <f t="shared" si="57"/>
        <v>97.800000000000026</v>
      </c>
      <c r="F65" s="39">
        <f t="shared" si="57"/>
        <v>106.9</v>
      </c>
      <c r="G65" s="39">
        <f t="shared" si="57"/>
        <v>101.55</v>
      </c>
      <c r="H65" s="76">
        <f t="shared" si="57"/>
        <v>109.81000000000003</v>
      </c>
      <c r="I65" s="76">
        <f>I17-I23-I51+I21+I33</f>
        <v>105.71000000000004</v>
      </c>
      <c r="J65" s="76">
        <f t="shared" si="57"/>
        <v>104.14000000000003</v>
      </c>
      <c r="K65" s="76">
        <f t="shared" si="57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58">N17-N23-N51+N21+N33</f>
        <v>106.20990250347435</v>
      </c>
      <c r="O65" s="39">
        <f>O17-O23-O51+O21+O33</f>
        <v>102.90990250347436</v>
      </c>
      <c r="P65" s="39">
        <f t="shared" ref="P65:X65" si="59">P17-P23-P51+P21+P33</f>
        <v>109.89000000000003</v>
      </c>
      <c r="Q65" s="39">
        <f>Q17-Q23-Q51+Q21+Q33</f>
        <v>105.35000000000002</v>
      </c>
      <c r="R65" s="39">
        <f t="shared" si="59"/>
        <v>104.30000000000004</v>
      </c>
      <c r="S65" s="39">
        <f t="shared" si="59"/>
        <v>98.200000000000045</v>
      </c>
      <c r="T65" s="27">
        <f t="shared" si="59"/>
        <v>110.30000000000004</v>
      </c>
      <c r="U65" s="27">
        <f>U17-U23-U51+U21+U33</f>
        <v>106.30000000000004</v>
      </c>
      <c r="V65" s="27">
        <f t="shared" ref="V65:X65" si="60">V17-V23-V51+V21+V33</f>
        <v>106.70000000000005</v>
      </c>
      <c r="W65" s="27">
        <f t="shared" si="60"/>
        <v>102.00000000000003</v>
      </c>
      <c r="X65" s="112">
        <f t="shared" si="60"/>
        <v>109.59000000000003</v>
      </c>
      <c r="Y65" s="112">
        <f>Y17-Y23-Y51+Y21+Y33</f>
        <v>105.48000000000005</v>
      </c>
      <c r="Z65" s="39">
        <f t="shared" ref="Z65:AD65" si="61">Z17-Z23-Z51+Z21+Z33</f>
        <v>108.82860000000002</v>
      </c>
      <c r="AA65" s="39">
        <f>AA17-AA23-AA51+AA21+AA33</f>
        <v>104.59530000000002</v>
      </c>
      <c r="AB65" s="39">
        <f t="shared" si="61"/>
        <v>105.36720000000003</v>
      </c>
      <c r="AC65" s="39">
        <f t="shared" si="61"/>
        <v>100.31730000000005</v>
      </c>
      <c r="AD65" s="39">
        <f t="shared" si="61"/>
        <v>112.15440000000002</v>
      </c>
      <c r="AE65" s="39">
        <f>AE17-AE23-AE51+AE21+AE33</f>
        <v>108.99140000000003</v>
      </c>
      <c r="AF65" s="39">
        <f t="shared" ref="AF65:AH65" si="62">AF17-AF23-AF51+AF21+AF33</f>
        <v>109.04300000000003</v>
      </c>
      <c r="AG65" s="39">
        <f t="shared" si="62"/>
        <v>105.27650000000003</v>
      </c>
      <c r="AH65" s="112">
        <f t="shared" si="62"/>
        <v>108.00000000000003</v>
      </c>
      <c r="AI65" s="112">
        <f>AI17-AI23-AI51+AI21+AI33</f>
        <v>103.90000000000003</v>
      </c>
    </row>
  </sheetData>
  <mergeCells count="11">
    <mergeCell ref="AH1:AI1"/>
    <mergeCell ref="B1:E1"/>
    <mergeCell ref="F1:G1"/>
    <mergeCell ref="H1:K1"/>
    <mergeCell ref="L1:M1"/>
    <mergeCell ref="N1:O1"/>
    <mergeCell ref="Z1:AC1"/>
    <mergeCell ref="AD1:AG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N54" activePane="bottomRight" state="frozen"/>
      <selection pane="topRight"/>
      <selection pane="bottomLeft"/>
      <selection pane="bottomRight" activeCell="P1" sqref="P1:Q65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1640625" style="1" customWidth="1"/>
    <col min="14" max="14" width="17.83203125" style="2" customWidth="1"/>
    <col min="15" max="15" width="17.1640625" style="1" customWidth="1"/>
    <col min="16" max="16" width="14.33203125" style="1" customWidth="1"/>
    <col min="17" max="17" width="17.33203125" style="1" customWidth="1"/>
    <col min="18" max="18" width="17.83203125" style="2" customWidth="1"/>
    <col min="19" max="19" width="17.1640625" style="1" customWidth="1"/>
    <col min="20" max="20" width="17.83203125" style="101" customWidth="1"/>
    <col min="21" max="21" width="17.1640625" style="106" customWidth="1"/>
    <col min="22" max="16384" width="9" style="1"/>
  </cols>
  <sheetData>
    <row r="1" spans="1:21" ht="14.25" customHeight="1">
      <c r="A1" s="3"/>
      <c r="B1" s="124" t="s">
        <v>101</v>
      </c>
      <c r="C1" s="124"/>
      <c r="D1" s="124" t="s">
        <v>102</v>
      </c>
      <c r="E1" s="124"/>
      <c r="F1" s="132" t="s">
        <v>119</v>
      </c>
      <c r="G1" s="132"/>
      <c r="H1" s="124" t="s">
        <v>123</v>
      </c>
      <c r="I1" s="124"/>
      <c r="J1" s="124" t="s">
        <v>126</v>
      </c>
      <c r="K1" s="124"/>
      <c r="L1" s="124" t="s">
        <v>127</v>
      </c>
      <c r="M1" s="124"/>
      <c r="N1" s="124" t="s">
        <v>128</v>
      </c>
      <c r="O1" s="124"/>
      <c r="P1" s="124" t="s">
        <v>129</v>
      </c>
      <c r="Q1" s="124"/>
      <c r="R1" s="124" t="s">
        <v>130</v>
      </c>
      <c r="S1" s="124"/>
      <c r="T1" s="133" t="s">
        <v>135</v>
      </c>
      <c r="U1" s="133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  <c r="T2" s="113" t="s">
        <v>112</v>
      </c>
      <c r="U2" s="114" t="s">
        <v>113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08">
        <v>28</v>
      </c>
      <c r="Q3" s="108">
        <v>28</v>
      </c>
      <c r="R3" s="8">
        <v>28</v>
      </c>
      <c r="S3" s="8">
        <v>28</v>
      </c>
      <c r="T3" s="108">
        <v>28</v>
      </c>
      <c r="U3" s="108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08">
        <v>100</v>
      </c>
      <c r="Q4" s="108">
        <v>100</v>
      </c>
      <c r="R4" s="8">
        <v>100</v>
      </c>
      <c r="S4" s="8">
        <v>100</v>
      </c>
      <c r="T4" s="108">
        <v>100</v>
      </c>
      <c r="U4" s="108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10">
        <v>0.01</v>
      </c>
      <c r="Q7" s="110">
        <v>0.01</v>
      </c>
      <c r="R7" s="43">
        <v>0.01</v>
      </c>
      <c r="S7" s="43">
        <v>0.01</v>
      </c>
      <c r="T7" s="110">
        <v>0.01</v>
      </c>
      <c r="U7" s="110">
        <v>0.01</v>
      </c>
    </row>
    <row r="8" spans="1:21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  <c r="T8" s="99" t="s">
        <v>16</v>
      </c>
      <c r="U8" s="99" t="s">
        <v>16</v>
      </c>
    </row>
    <row r="9" spans="1:21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07" t="s">
        <v>22</v>
      </c>
      <c r="Q9" s="107" t="s">
        <v>22</v>
      </c>
      <c r="R9" s="86" t="s">
        <v>22</v>
      </c>
      <c r="S9" s="86" t="s">
        <v>22</v>
      </c>
      <c r="T9" s="107" t="s">
        <v>22</v>
      </c>
      <c r="U9" s="107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108">
        <v>3</v>
      </c>
      <c r="Q10" s="108">
        <v>3</v>
      </c>
      <c r="R10" s="8">
        <v>3</v>
      </c>
      <c r="S10" s="8">
        <v>3</v>
      </c>
      <c r="T10" s="108">
        <v>3</v>
      </c>
      <c r="U10" s="108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09"/>
      <c r="Q11" s="109"/>
      <c r="R11" s="14"/>
      <c r="S11" s="14"/>
      <c r="T11" s="109"/>
      <c r="U11" s="109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08">
        <v>4</v>
      </c>
      <c r="Q12" s="108">
        <v>4</v>
      </c>
      <c r="R12" s="8">
        <v>4</v>
      </c>
      <c r="S12" s="8">
        <v>4</v>
      </c>
      <c r="T12" s="108">
        <v>4</v>
      </c>
      <c r="U12" s="108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108">
        <v>2</v>
      </c>
      <c r="Q13" s="108">
        <v>2</v>
      </c>
      <c r="R13" s="8">
        <v>2</v>
      </c>
      <c r="S13" s="8">
        <v>2</v>
      </c>
      <c r="T13" s="108">
        <v>2</v>
      </c>
      <c r="U13" s="108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108">
        <v>1</v>
      </c>
      <c r="Q14" s="108">
        <v>1</v>
      </c>
      <c r="R14" s="8">
        <v>1</v>
      </c>
      <c r="S14" s="8">
        <v>1</v>
      </c>
      <c r="T14" s="108">
        <v>1</v>
      </c>
      <c r="U14" s="108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108" t="s">
        <v>16</v>
      </c>
      <c r="Q15" s="108" t="s">
        <v>16</v>
      </c>
      <c r="R15" s="8" t="s">
        <v>16</v>
      </c>
      <c r="S15" s="8" t="s">
        <v>16</v>
      </c>
      <c r="T15" s="108" t="s">
        <v>16</v>
      </c>
      <c r="U15" s="108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07">
        <v>23</v>
      </c>
      <c r="Q16" s="107">
        <v>23</v>
      </c>
      <c r="R16" s="86">
        <v>23</v>
      </c>
      <c r="S16" s="86">
        <v>23</v>
      </c>
      <c r="T16" s="107">
        <v>23</v>
      </c>
      <c r="U16" s="107">
        <v>23</v>
      </c>
    </row>
    <row r="17" spans="1:21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08">
        <f t="shared" ref="P17:Q17" si="2">P16</f>
        <v>23</v>
      </c>
      <c r="Q17" s="108">
        <f t="shared" si="2"/>
        <v>23</v>
      </c>
      <c r="R17" s="8">
        <f>R16</f>
        <v>23</v>
      </c>
      <c r="S17" s="8">
        <f>S16</f>
        <v>23</v>
      </c>
      <c r="T17" s="108">
        <f>T16</f>
        <v>23</v>
      </c>
      <c r="U17" s="108">
        <f>U16</f>
        <v>23</v>
      </c>
    </row>
    <row r="18" spans="1:21" ht="42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108">
        <f t="shared" ref="P18:Q18" si="5">P19+10*LOG10(P12/P14)-P20</f>
        <v>11.020599913279625</v>
      </c>
      <c r="Q18" s="10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  <c r="T18" s="108">
        <f>T19+10*LOG10(T12/T14)-T20</f>
        <v>11.020599913279625</v>
      </c>
      <c r="U18" s="108">
        <f>U19+10*LOG10(U12/U14)-U20</f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08">
        <v>5</v>
      </c>
      <c r="Q19" s="108">
        <v>5</v>
      </c>
      <c r="R19" s="8">
        <v>5</v>
      </c>
      <c r="S19" s="8">
        <v>5</v>
      </c>
      <c r="T19" s="108">
        <v>5</v>
      </c>
      <c r="U19" s="108">
        <v>5</v>
      </c>
    </row>
    <row r="20" spans="1:21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107">
        <v>0</v>
      </c>
      <c r="Q20" s="107">
        <v>0</v>
      </c>
      <c r="R20" s="86">
        <v>0</v>
      </c>
      <c r="S20" s="86">
        <v>0</v>
      </c>
      <c r="T20" s="107">
        <v>0</v>
      </c>
      <c r="U20" s="107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108">
        <v>0</v>
      </c>
      <c r="Q21" s="108">
        <v>0</v>
      </c>
      <c r="R21" s="8">
        <v>0</v>
      </c>
      <c r="S21" s="8">
        <v>0</v>
      </c>
      <c r="T21" s="108">
        <v>0</v>
      </c>
      <c r="U21" s="10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8">
        <v>0</v>
      </c>
      <c r="Q22" s="108">
        <v>0</v>
      </c>
      <c r="R22" s="8">
        <v>0</v>
      </c>
      <c r="S22" s="8">
        <v>0</v>
      </c>
      <c r="T22" s="108">
        <v>0</v>
      </c>
      <c r="U22" s="10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8">
        <v>0</v>
      </c>
      <c r="Q23" s="108">
        <v>0</v>
      </c>
      <c r="R23" s="8">
        <v>0</v>
      </c>
      <c r="S23" s="8">
        <v>0</v>
      </c>
      <c r="T23" s="108">
        <v>0</v>
      </c>
      <c r="U23" s="108">
        <v>0</v>
      </c>
    </row>
    <row r="24" spans="1:2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08">
        <v>1</v>
      </c>
      <c r="Q24" s="108">
        <v>1</v>
      </c>
      <c r="R24" s="8">
        <v>1</v>
      </c>
      <c r="S24" s="8">
        <v>1</v>
      </c>
      <c r="T24" s="108">
        <v>1</v>
      </c>
      <c r="U24" s="108">
        <v>1</v>
      </c>
    </row>
    <row r="25" spans="1:21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108">
        <f t="shared" ref="P25:Q25" si="8">P17+P18+P21+P22-P24</f>
        <v>33.020599913279625</v>
      </c>
      <c r="Q25" s="10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  <c r="T25" s="108">
        <f>T17+T18+T21+T22-T24</f>
        <v>33.020599913279625</v>
      </c>
      <c r="U25" s="108">
        <f>U17+U18+U21+U22-U24</f>
        <v>33.020599913279625</v>
      </c>
    </row>
    <row r="26" spans="1:21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  <c r="T26" s="99" t="s">
        <v>16</v>
      </c>
      <c r="U26" s="99" t="s">
        <v>16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09"/>
      <c r="Q27" s="109"/>
      <c r="R27" s="14"/>
      <c r="S27" s="14"/>
      <c r="T27" s="109"/>
      <c r="U27" s="109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108">
        <v>128</v>
      </c>
      <c r="Q28" s="108">
        <v>128</v>
      </c>
      <c r="R28" s="8">
        <v>128</v>
      </c>
      <c r="S28" s="8">
        <v>128</v>
      </c>
      <c r="T28" s="108">
        <v>128</v>
      </c>
      <c r="U28" s="108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108">
        <v>2</v>
      </c>
      <c r="Q29" s="108">
        <v>2</v>
      </c>
      <c r="R29" s="8">
        <v>2</v>
      </c>
      <c r="S29" s="8">
        <v>2</v>
      </c>
      <c r="T29" s="108">
        <v>2</v>
      </c>
      <c r="U29" s="108">
        <v>2</v>
      </c>
    </row>
    <row r="30" spans="1:21" ht="42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108">
        <f t="shared" ref="P30:Q30" si="11">P31+10*LOG10(P28/P13)-P32</f>
        <v>26.061799739838872</v>
      </c>
      <c r="Q30" s="10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  <c r="T30" s="108">
        <f>T31+10*LOG10(T28/T13)-T32</f>
        <v>17.091799739838869</v>
      </c>
      <c r="U30" s="108">
        <f>U31+10*LOG10(U28/U13)-U32</f>
        <v>17.091799739838869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08">
        <v>8</v>
      </c>
      <c r="Q31" s="108">
        <v>8</v>
      </c>
      <c r="R31" s="8">
        <v>8</v>
      </c>
      <c r="S31" s="8">
        <v>8</v>
      </c>
      <c r="T31" s="108">
        <v>8</v>
      </c>
      <c r="U31" s="108">
        <v>8</v>
      </c>
    </row>
    <row r="32" spans="1:21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107">
        <v>0</v>
      </c>
      <c r="Q32" s="107">
        <v>0</v>
      </c>
      <c r="R32" s="86">
        <v>0</v>
      </c>
      <c r="S32" s="86">
        <v>0</v>
      </c>
      <c r="T32" s="107">
        <v>8.9700000000000006</v>
      </c>
      <c r="U32" s="107">
        <v>8.9700000000000006</v>
      </c>
    </row>
    <row r="33" spans="1:21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07">
        <v>0</v>
      </c>
      <c r="Q33" s="107">
        <v>0</v>
      </c>
      <c r="R33" s="86">
        <v>0</v>
      </c>
      <c r="S33" s="86">
        <v>0</v>
      </c>
      <c r="T33" s="107">
        <v>0</v>
      </c>
      <c r="U33" s="107">
        <v>0</v>
      </c>
    </row>
    <row r="34" spans="1:21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08">
        <v>3</v>
      </c>
      <c r="Q34" s="108">
        <v>3</v>
      </c>
      <c r="R34" s="8">
        <v>3</v>
      </c>
      <c r="S34" s="8">
        <v>3</v>
      </c>
      <c r="T34" s="108">
        <v>3</v>
      </c>
      <c r="U34" s="108">
        <v>3</v>
      </c>
    </row>
    <row r="35" spans="1:21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08">
        <v>5</v>
      </c>
      <c r="Q35" s="108">
        <v>5</v>
      </c>
      <c r="R35" s="8">
        <v>5</v>
      </c>
      <c r="S35" s="8">
        <v>5</v>
      </c>
      <c r="T35" s="108">
        <v>5</v>
      </c>
      <c r="U35" s="108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08">
        <v>-174</v>
      </c>
      <c r="Q36" s="108">
        <v>-174</v>
      </c>
      <c r="R36" s="8">
        <v>-174</v>
      </c>
      <c r="S36" s="8">
        <v>-174</v>
      </c>
      <c r="T36" s="108">
        <v>-174</v>
      </c>
      <c r="U36" s="108">
        <v>-174</v>
      </c>
    </row>
    <row r="37" spans="1:21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107">
        <v>-999</v>
      </c>
      <c r="Q37" s="107">
        <v>-999</v>
      </c>
      <c r="R37" s="86">
        <v>-999</v>
      </c>
      <c r="S37" s="86">
        <v>-999</v>
      </c>
      <c r="T37" s="107">
        <v>-999</v>
      </c>
      <c r="U37" s="107">
        <v>-999</v>
      </c>
    </row>
    <row r="38" spans="1:21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08" t="s">
        <v>16</v>
      </c>
      <c r="Q38" s="108" t="s">
        <v>16</v>
      </c>
      <c r="R38" s="8" t="s">
        <v>16</v>
      </c>
      <c r="S38" s="8" t="s">
        <v>16</v>
      </c>
      <c r="T38" s="108" t="s">
        <v>16</v>
      </c>
      <c r="U38" s="108" t="s">
        <v>16</v>
      </c>
    </row>
    <row r="39" spans="1:21" ht="28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08">
        <f t="shared" ref="P39:Q39" si="14">10*LOG10(10^((P35+P36)/10)+10^(P37/10))</f>
        <v>-169.00000000000003</v>
      </c>
      <c r="Q39" s="10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  <c r="T39" s="108">
        <f>10*LOG10(10^((T35+T36)/10)+10^(T37/10))</f>
        <v>-169.00000000000003</v>
      </c>
      <c r="U39" s="108">
        <f>10*LOG10(10^((U35+U36)/10)+10^(U37/10))</f>
        <v>-169.00000000000003</v>
      </c>
    </row>
    <row r="40" spans="1:21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  <c r="T40" s="99" t="s">
        <v>16</v>
      </c>
      <c r="U40" s="99" t="s">
        <v>16</v>
      </c>
    </row>
    <row r="41" spans="1:21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U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108">
        <f t="shared" si="16"/>
        <v>1440000</v>
      </c>
      <c r="Q41" s="108">
        <f t="shared" si="16"/>
        <v>1440000</v>
      </c>
      <c r="R41" s="8">
        <f t="shared" si="16"/>
        <v>1440000</v>
      </c>
      <c r="S41" s="8">
        <f t="shared" si="16"/>
        <v>1440000</v>
      </c>
      <c r="T41" s="108">
        <f t="shared" si="16"/>
        <v>1440000</v>
      </c>
      <c r="U41" s="108">
        <f t="shared" si="16"/>
        <v>1440000</v>
      </c>
    </row>
    <row r="42" spans="1:21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08" t="s">
        <v>16</v>
      </c>
      <c r="Q42" s="108" t="s">
        <v>16</v>
      </c>
      <c r="R42" s="8" t="s">
        <v>16</v>
      </c>
      <c r="S42" s="8" t="s">
        <v>16</v>
      </c>
      <c r="T42" s="108" t="s">
        <v>16</v>
      </c>
      <c r="U42" s="108" t="s">
        <v>16</v>
      </c>
    </row>
    <row r="43" spans="1:21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108">
        <f t="shared" ref="P43:Q43" si="19">P39+10*LOG10(P41)</f>
        <v>-107.41637507904753</v>
      </c>
      <c r="Q43" s="10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  <c r="T43" s="108">
        <f>T39+10*LOG10(T41)</f>
        <v>-107.41637507904753</v>
      </c>
      <c r="U43" s="108">
        <f>U39+10*LOG10(U41)</f>
        <v>-107.41637507904753</v>
      </c>
    </row>
    <row r="44" spans="1:21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  <c r="T44" s="99" t="s">
        <v>16</v>
      </c>
      <c r="U44" s="99" t="s">
        <v>16</v>
      </c>
    </row>
    <row r="45" spans="1:21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  <c r="T45" s="111">
        <v>-4.5</v>
      </c>
      <c r="U45" s="111">
        <v>-4.5</v>
      </c>
    </row>
    <row r="46" spans="1:21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08" t="s">
        <v>16</v>
      </c>
      <c r="Q46" s="108" t="s">
        <v>16</v>
      </c>
      <c r="R46" s="8" t="s">
        <v>16</v>
      </c>
      <c r="S46" s="8" t="s">
        <v>16</v>
      </c>
      <c r="T46" s="108" t="s">
        <v>16</v>
      </c>
      <c r="U46" s="108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08">
        <v>2</v>
      </c>
      <c r="Q47" s="108">
        <v>2</v>
      </c>
      <c r="R47" s="8">
        <v>2</v>
      </c>
      <c r="S47" s="8">
        <v>2</v>
      </c>
      <c r="T47" s="108">
        <v>2</v>
      </c>
      <c r="U47" s="108">
        <v>2</v>
      </c>
    </row>
    <row r="48" spans="1:2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08">
        <v>0</v>
      </c>
      <c r="Q48" s="108">
        <v>0</v>
      </c>
      <c r="R48" s="8">
        <v>0</v>
      </c>
      <c r="S48" s="8">
        <v>0</v>
      </c>
      <c r="T48" s="108">
        <v>0</v>
      </c>
      <c r="U48" s="108">
        <v>0</v>
      </c>
    </row>
    <row r="49" spans="1:2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  <c r="T49" s="99" t="s">
        <v>16</v>
      </c>
      <c r="U49" s="99" t="s">
        <v>16</v>
      </c>
    </row>
    <row r="50" spans="1:21" ht="28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108">
        <f t="shared" ref="P50:Q50" si="22">P43+P45+P47-P48</f>
        <v>-110.21637507904752</v>
      </c>
      <c r="Q50" s="10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  <c r="T50" s="108">
        <f>T43+T45+T47-T48</f>
        <v>-109.91637507904753</v>
      </c>
      <c r="U50" s="108">
        <f>U43+U45+U47-U48</f>
        <v>-109.91637507904753</v>
      </c>
    </row>
    <row r="51" spans="1:21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108" t="s">
        <v>16</v>
      </c>
      <c r="Q51" s="108" t="s">
        <v>16</v>
      </c>
      <c r="R51" s="8" t="s">
        <v>16</v>
      </c>
      <c r="S51" s="8" t="s">
        <v>16</v>
      </c>
      <c r="T51" s="108" t="s">
        <v>16</v>
      </c>
      <c r="U51" s="108" t="s">
        <v>16</v>
      </c>
    </row>
    <row r="52" spans="1:21" ht="28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U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112">
        <f t="shared" si="24"/>
        <v>166.29877473216601</v>
      </c>
      <c r="Q52" s="112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  <c r="T52" s="112">
        <f t="shared" si="24"/>
        <v>157.02877473216603</v>
      </c>
      <c r="U52" s="112">
        <f t="shared" si="24"/>
        <v>157.02877473216603</v>
      </c>
    </row>
    <row r="53" spans="1:21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15" t="s">
        <v>16</v>
      </c>
      <c r="Q53" s="115" t="s">
        <v>16</v>
      </c>
      <c r="R53" s="100" t="s">
        <v>16</v>
      </c>
      <c r="S53" s="100" t="s">
        <v>16</v>
      </c>
      <c r="T53" s="115" t="s">
        <v>16</v>
      </c>
      <c r="U53" s="115" t="s">
        <v>16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09"/>
      <c r="Q54" s="109"/>
      <c r="R54" s="14"/>
      <c r="S54" s="14"/>
      <c r="T54" s="109"/>
      <c r="U54" s="109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107">
        <v>0</v>
      </c>
      <c r="Q55" s="107">
        <v>0</v>
      </c>
      <c r="R55" s="86">
        <v>0</v>
      </c>
      <c r="S55" s="86">
        <v>0</v>
      </c>
      <c r="T55" s="107">
        <v>0</v>
      </c>
      <c r="U55" s="107">
        <v>0</v>
      </c>
    </row>
    <row r="56" spans="1:21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107">
        <v>0</v>
      </c>
      <c r="Q56" s="107">
        <v>0</v>
      </c>
      <c r="R56" s="86">
        <v>0</v>
      </c>
      <c r="S56" s="86">
        <v>0</v>
      </c>
      <c r="T56" s="107">
        <v>0</v>
      </c>
      <c r="U56" s="107">
        <v>0</v>
      </c>
    </row>
    <row r="57" spans="1:21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  <c r="T57" s="99" t="s">
        <v>16</v>
      </c>
      <c r="U57" s="99" t="s">
        <v>16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07">
        <v>0</v>
      </c>
      <c r="Q58" s="107">
        <v>0</v>
      </c>
      <c r="R58" s="86">
        <v>0</v>
      </c>
      <c r="S58" s="86">
        <v>0</v>
      </c>
      <c r="T58" s="107">
        <v>0</v>
      </c>
      <c r="U58" s="107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07">
        <v>0</v>
      </c>
      <c r="Q59" s="107">
        <v>0</v>
      </c>
      <c r="R59" s="86">
        <v>0</v>
      </c>
      <c r="S59" s="86">
        <v>0</v>
      </c>
      <c r="T59" s="107">
        <v>0</v>
      </c>
      <c r="U59" s="107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07">
        <v>0</v>
      </c>
      <c r="Q60" s="107">
        <v>0</v>
      </c>
      <c r="R60" s="86">
        <v>0</v>
      </c>
      <c r="S60" s="86">
        <v>0</v>
      </c>
      <c r="T60" s="107">
        <v>0</v>
      </c>
      <c r="U60" s="107">
        <v>0</v>
      </c>
    </row>
    <row r="61" spans="1:21" ht="28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U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112">
        <f t="shared" si="26"/>
        <v>166.29877473216601</v>
      </c>
      <c r="Q61" s="112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  <c r="T61" s="112">
        <f t="shared" si="26"/>
        <v>157.02877473216603</v>
      </c>
      <c r="U61" s="112">
        <f t="shared" si="26"/>
        <v>157.02877473216603</v>
      </c>
    </row>
    <row r="62" spans="1:21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15" t="s">
        <v>16</v>
      </c>
      <c r="Q62" s="115" t="s">
        <v>16</v>
      </c>
      <c r="R62" s="100" t="s">
        <v>16</v>
      </c>
      <c r="S62" s="100" t="s">
        <v>16</v>
      </c>
      <c r="T62" s="115" t="s">
        <v>16</v>
      </c>
      <c r="U62" s="115" t="s">
        <v>16</v>
      </c>
    </row>
    <row r="63" spans="1:21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  <c r="U63" s="101"/>
    </row>
    <row r="64" spans="1:21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112">
        <f t="shared" ref="P64:Q64" si="29">P17+P22-P50+P21+P33</f>
        <v>133.21637507904751</v>
      </c>
      <c r="Q64" s="112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  <c r="T64" s="112">
        <f>T17+T22-T50+T21+T33</f>
        <v>132.91637507904753</v>
      </c>
      <c r="U64" s="112">
        <f>U17+U22-U50+U21+U33</f>
        <v>132.91637507904753</v>
      </c>
    </row>
    <row r="65" spans="1:21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15" t="s">
        <v>16</v>
      </c>
      <c r="Q65" s="115" t="s">
        <v>16</v>
      </c>
      <c r="R65" s="100" t="s">
        <v>16</v>
      </c>
      <c r="S65" s="100" t="s">
        <v>16</v>
      </c>
      <c r="T65" s="115" t="s">
        <v>16</v>
      </c>
      <c r="U65" s="11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14" activePane="bottomRight" state="frozen"/>
      <selection pane="topRight"/>
      <selection pane="bottomLeft"/>
      <selection pane="bottomRight" activeCell="P1" sqref="P1:Q1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1640625" style="1" customWidth="1"/>
    <col min="14" max="14" width="17.83203125" style="2" customWidth="1"/>
    <col min="15" max="15" width="17.1640625" style="1" customWidth="1"/>
    <col min="16" max="16" width="17.83203125" style="101" customWidth="1"/>
    <col min="17" max="17" width="17.1640625" style="106" customWidth="1"/>
    <col min="18" max="16384" width="9" style="1"/>
  </cols>
  <sheetData>
    <row r="1" spans="1:17" ht="14.25" customHeight="1">
      <c r="A1" s="3"/>
      <c r="B1" s="124" t="s">
        <v>101</v>
      </c>
      <c r="C1" s="124"/>
      <c r="D1" s="124" t="s">
        <v>102</v>
      </c>
      <c r="E1" s="124"/>
      <c r="F1" s="132" t="s">
        <v>119</v>
      </c>
      <c r="G1" s="132"/>
      <c r="H1" s="124" t="s">
        <v>125</v>
      </c>
      <c r="I1" s="124"/>
      <c r="J1" s="124" t="s">
        <v>127</v>
      </c>
      <c r="K1" s="124"/>
      <c r="L1" s="124" t="s">
        <v>128</v>
      </c>
      <c r="M1" s="124"/>
      <c r="N1" s="124" t="s">
        <v>130</v>
      </c>
      <c r="O1" s="124"/>
      <c r="P1" s="133" t="s">
        <v>135</v>
      </c>
      <c r="Q1" s="133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113" t="s">
        <v>112</v>
      </c>
      <c r="Q2" s="114" t="s">
        <v>113</v>
      </c>
    </row>
    <row r="3" spans="1:1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08">
        <v>28</v>
      </c>
      <c r="Q3" s="108">
        <v>28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08">
        <v>100</v>
      </c>
      <c r="Q4" s="108">
        <v>100</v>
      </c>
    </row>
    <row r="5" spans="1:17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10">
        <v>0.01</v>
      </c>
      <c r="Q7" s="110">
        <v>0.01</v>
      </c>
    </row>
    <row r="8" spans="1:17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07" t="s">
        <v>22</v>
      </c>
      <c r="Q9" s="107" t="s">
        <v>22</v>
      </c>
    </row>
    <row r="10" spans="1:17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  <c r="P10" s="108">
        <v>3</v>
      </c>
      <c r="Q10" s="108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09"/>
      <c r="Q11" s="109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08">
        <v>4</v>
      </c>
      <c r="Q12" s="108">
        <v>4</v>
      </c>
    </row>
    <row r="13" spans="1:17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  <c r="P13" s="108">
        <v>2</v>
      </c>
      <c r="Q13" s="108">
        <v>2</v>
      </c>
    </row>
    <row r="14" spans="1:17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  <c r="P14" s="108">
        <v>1</v>
      </c>
      <c r="Q14" s="108">
        <v>1</v>
      </c>
    </row>
    <row r="15" spans="1:17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108" t="s">
        <v>16</v>
      </c>
      <c r="Q15" s="108" t="s">
        <v>16</v>
      </c>
    </row>
    <row r="16" spans="1:17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07">
        <v>23</v>
      </c>
      <c r="Q16" s="107">
        <v>23</v>
      </c>
    </row>
    <row r="17" spans="1:1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08">
        <f>P16</f>
        <v>23</v>
      </c>
      <c r="Q17" s="108">
        <f>Q16</f>
        <v>23</v>
      </c>
    </row>
    <row r="18" spans="1:17" ht="42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  <c r="P18" s="108">
        <f>P19+10*LOG10(P12/P14)-P20</f>
        <v>11.020599913279625</v>
      </c>
      <c r="Q18" s="108">
        <f>Q19+10*LOG10(Q12/Q14)-Q20</f>
        <v>11.020599913279625</v>
      </c>
    </row>
    <row r="19" spans="1:1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08">
        <v>5</v>
      </c>
      <c r="Q19" s="108">
        <v>5</v>
      </c>
    </row>
    <row r="20" spans="1:17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107">
        <v>0</v>
      </c>
      <c r="Q20" s="107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  <c r="P21" s="108">
        <v>0</v>
      </c>
      <c r="Q21" s="108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8">
        <v>0</v>
      </c>
      <c r="Q22" s="10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8">
        <v>0</v>
      </c>
      <c r="Q23" s="108">
        <v>0</v>
      </c>
    </row>
    <row r="24" spans="1:1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08">
        <v>1</v>
      </c>
      <c r="Q24" s="108">
        <v>1</v>
      </c>
    </row>
    <row r="25" spans="1:17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  <c r="P25" s="108">
        <f>P17+P18+P21+P22-P24</f>
        <v>33.020599913279625</v>
      </c>
      <c r="Q25" s="108">
        <f>Q17+Q18+Q21+Q22-Q24</f>
        <v>33.020599913279625</v>
      </c>
    </row>
    <row r="26" spans="1:17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09"/>
      <c r="Q27" s="109"/>
    </row>
    <row r="28" spans="1:17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  <c r="P28" s="108">
        <v>128</v>
      </c>
      <c r="Q28" s="108">
        <v>128</v>
      </c>
    </row>
    <row r="29" spans="1:17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  <c r="P29" s="108">
        <v>2</v>
      </c>
      <c r="Q29" s="108">
        <v>2</v>
      </c>
    </row>
    <row r="30" spans="1:17" ht="42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  <c r="P30" s="108">
        <f>P31+10*LOG10(P28/P13)-P32</f>
        <v>17.091799739838869</v>
      </c>
      <c r="Q30" s="108">
        <f>Q31+10*LOG10(Q28/Q13)-Q32</f>
        <v>17.091799739838869</v>
      </c>
    </row>
    <row r="31" spans="1:1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08">
        <v>8</v>
      </c>
      <c r="Q31" s="108">
        <v>8</v>
      </c>
    </row>
    <row r="32" spans="1:17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107">
        <v>8.9700000000000006</v>
      </c>
      <c r="Q32" s="107">
        <v>8.9700000000000006</v>
      </c>
    </row>
    <row r="33" spans="1:17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07">
        <v>0</v>
      </c>
      <c r="Q33" s="107">
        <v>0</v>
      </c>
    </row>
    <row r="34" spans="1:1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08">
        <v>3</v>
      </c>
      <c r="Q34" s="108">
        <v>3</v>
      </c>
    </row>
    <row r="35" spans="1:1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08">
        <v>5</v>
      </c>
      <c r="Q35" s="10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08">
        <v>-174</v>
      </c>
      <c r="Q36" s="108">
        <v>-174</v>
      </c>
    </row>
    <row r="37" spans="1:17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  <c r="P37" s="107">
        <v>-999</v>
      </c>
      <c r="Q37" s="107">
        <v>-999</v>
      </c>
    </row>
    <row r="38" spans="1:17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108" t="s">
        <v>16</v>
      </c>
      <c r="Q38" s="108" t="s">
        <v>16</v>
      </c>
    </row>
    <row r="39" spans="1:17" ht="28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08">
        <f>10*LOG10(10^((P35+P36)/10)+10^(P37/10))</f>
        <v>-169.00000000000003</v>
      </c>
      <c r="Q39" s="108">
        <f>10*LOG10(10^((Q35+Q36)/10)+10^(Q37/10))</f>
        <v>-169.00000000000003</v>
      </c>
    </row>
    <row r="40" spans="1:17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108">
        <f t="shared" si="11"/>
        <v>1440000</v>
      </c>
      <c r="Q41" s="108">
        <f t="shared" si="11"/>
        <v>1440000</v>
      </c>
    </row>
    <row r="42" spans="1:17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108" t="s">
        <v>16</v>
      </c>
      <c r="Q42" s="108" t="s">
        <v>16</v>
      </c>
    </row>
    <row r="43" spans="1:17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  <c r="P43" s="108">
        <f>P39+10*LOG10(P41)</f>
        <v>-107.41637507904753</v>
      </c>
      <c r="Q43" s="108">
        <f>Q39+10*LOG10(Q41)</f>
        <v>-107.41637507904753</v>
      </c>
    </row>
    <row r="44" spans="1:17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  <c r="P45" s="111">
        <v>-4.8</v>
      </c>
      <c r="Q45" s="111">
        <v>-4.8</v>
      </c>
    </row>
    <row r="46" spans="1:17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108" t="s">
        <v>16</v>
      </c>
      <c r="Q46" s="108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08">
        <v>2</v>
      </c>
      <c r="Q47" s="108">
        <v>2</v>
      </c>
    </row>
    <row r="48" spans="1:1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08">
        <v>0</v>
      </c>
      <c r="Q48" s="108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28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  <c r="P50" s="108">
        <f>P43+P45+P47-P48</f>
        <v>-110.21637507904752</v>
      </c>
      <c r="Q50" s="108">
        <f>Q43+Q45+Q47-Q48</f>
        <v>-110.21637507904752</v>
      </c>
    </row>
    <row r="51" spans="1:17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108" t="s">
        <v>16</v>
      </c>
      <c r="Q51" s="108" t="s">
        <v>16</v>
      </c>
    </row>
    <row r="52" spans="1:17" ht="28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  <c r="P52" s="112">
        <f t="shared" si="17"/>
        <v>157.32877473216601</v>
      </c>
      <c r="Q52" s="112">
        <f t="shared" si="17"/>
        <v>157.32877473216601</v>
      </c>
    </row>
    <row r="53" spans="1:17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15" t="s">
        <v>16</v>
      </c>
      <c r="Q53" s="115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09"/>
      <c r="Q54" s="109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107">
        <v>0</v>
      </c>
      <c r="Q55" s="107">
        <v>0</v>
      </c>
    </row>
    <row r="56" spans="1:17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107">
        <v>0</v>
      </c>
      <c r="Q56" s="107">
        <v>0</v>
      </c>
    </row>
    <row r="57" spans="1:17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07">
        <v>0</v>
      </c>
      <c r="Q58" s="107">
        <v>0</v>
      </c>
    </row>
    <row r="59" spans="1:17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07">
        <v>0</v>
      </c>
      <c r="Q59" s="107">
        <v>0</v>
      </c>
    </row>
    <row r="60" spans="1:17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07">
        <v>0</v>
      </c>
      <c r="Q60" s="107">
        <v>0</v>
      </c>
    </row>
    <row r="61" spans="1:17" ht="28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  <c r="P61" s="112">
        <f t="shared" si="19"/>
        <v>157.32877473216601</v>
      </c>
      <c r="Q61" s="112">
        <f t="shared" si="19"/>
        <v>157.32877473216601</v>
      </c>
    </row>
    <row r="62" spans="1:17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15" t="s">
        <v>16</v>
      </c>
      <c r="Q62" s="115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  <c r="Q63" s="101"/>
    </row>
    <row r="64" spans="1:17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  <c r="P64" s="112">
        <f>P17+P22-P50+P21+P33</f>
        <v>133.21637507904751</v>
      </c>
      <c r="Q64" s="112">
        <f>Q17+Q22-Q50+Q21+Q33</f>
        <v>133.21637507904751</v>
      </c>
    </row>
    <row r="65" spans="1:17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15" t="s">
        <v>16</v>
      </c>
      <c r="Q65" s="11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O54" activePane="bottomRight" state="frozen"/>
      <selection pane="topRight"/>
      <selection pane="bottomLeft"/>
      <selection pane="bottomRight" activeCell="N1" sqref="N1:O65"/>
    </sheetView>
  </sheetViews>
  <sheetFormatPr defaultColWidth="9" defaultRowHeight="15"/>
  <cols>
    <col min="1" max="1" width="62.1640625" style="1" customWidth="1"/>
    <col min="2" max="2" width="17.83203125" style="2" customWidth="1"/>
    <col min="3" max="3" width="17.1640625" style="1" customWidth="1"/>
    <col min="4" max="4" width="17.83203125" style="2" customWidth="1"/>
    <col min="5" max="5" width="17.1640625" style="1" customWidth="1"/>
    <col min="6" max="6" width="17.83203125" style="80" customWidth="1"/>
    <col min="7" max="7" width="17.1640625" style="1" customWidth="1"/>
    <col min="8" max="8" width="14.6640625" style="1" bestFit="1" customWidth="1"/>
    <col min="9" max="9" width="17.33203125" style="1" bestFit="1" customWidth="1"/>
    <col min="10" max="10" width="17.83203125" style="2" customWidth="1"/>
    <col min="11" max="11" width="17.1640625" style="1" customWidth="1"/>
    <col min="12" max="12" width="17.83203125" style="2" customWidth="1"/>
    <col min="13" max="13" width="17.1640625" style="1" customWidth="1"/>
    <col min="14" max="14" width="15.1640625" style="1" customWidth="1"/>
    <col min="15" max="15" width="15" style="1" customWidth="1"/>
    <col min="16" max="16" width="17.83203125" style="2" customWidth="1"/>
    <col min="17" max="17" width="17.1640625" style="1" customWidth="1"/>
    <col min="18" max="18" width="17.83203125" style="101" customWidth="1"/>
    <col min="19" max="19" width="17.1640625" style="106" customWidth="1"/>
    <col min="20" max="16384" width="9" style="1"/>
  </cols>
  <sheetData>
    <row r="1" spans="1:19" ht="14.25" customHeight="1">
      <c r="A1" s="3"/>
      <c r="B1" s="124" t="s">
        <v>101</v>
      </c>
      <c r="C1" s="124"/>
      <c r="D1" s="124" t="s">
        <v>102</v>
      </c>
      <c r="E1" s="124"/>
      <c r="F1" s="132" t="s">
        <v>119</v>
      </c>
      <c r="G1" s="132"/>
      <c r="H1" s="124" t="s">
        <v>122</v>
      </c>
      <c r="I1" s="124"/>
      <c r="J1" s="124" t="s">
        <v>126</v>
      </c>
      <c r="K1" s="124"/>
      <c r="L1" s="124" t="s">
        <v>128</v>
      </c>
      <c r="M1" s="124"/>
      <c r="N1" s="124" t="s">
        <v>129</v>
      </c>
      <c r="O1" s="124"/>
      <c r="P1" s="124" t="s">
        <v>130</v>
      </c>
      <c r="Q1" s="124"/>
      <c r="R1" s="133" t="s">
        <v>135</v>
      </c>
      <c r="S1" s="133"/>
    </row>
    <row r="2" spans="1:19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113" t="s">
        <v>112</v>
      </c>
      <c r="O2" s="116" t="s">
        <v>113</v>
      </c>
      <c r="P2" s="31" t="s">
        <v>112</v>
      </c>
      <c r="Q2" s="104" t="s">
        <v>113</v>
      </c>
      <c r="R2" s="113" t="s">
        <v>112</v>
      </c>
      <c r="S2" s="114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108">
        <v>28</v>
      </c>
      <c r="O3" s="108">
        <v>28</v>
      </c>
      <c r="P3" s="8">
        <v>28</v>
      </c>
      <c r="Q3" s="8">
        <v>28</v>
      </c>
      <c r="R3" s="108">
        <v>28</v>
      </c>
      <c r="S3" s="108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108">
        <v>100</v>
      </c>
      <c r="O4" s="108">
        <v>100</v>
      </c>
      <c r="P4" s="8">
        <v>100</v>
      </c>
      <c r="Q4" s="8">
        <v>100</v>
      </c>
      <c r="R4" s="108">
        <v>100</v>
      </c>
      <c r="S4" s="108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110">
        <v>0.01</v>
      </c>
      <c r="O7" s="110">
        <v>0.01</v>
      </c>
      <c r="P7" s="43">
        <v>0.01</v>
      </c>
      <c r="Q7" s="43">
        <v>0.01</v>
      </c>
      <c r="R7" s="110">
        <v>0.01</v>
      </c>
      <c r="S7" s="110">
        <v>0.01</v>
      </c>
    </row>
    <row r="8" spans="1:1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107" t="s">
        <v>22</v>
      </c>
      <c r="O9" s="107" t="s">
        <v>22</v>
      </c>
      <c r="P9" s="86" t="s">
        <v>22</v>
      </c>
      <c r="Q9" s="86" t="s">
        <v>22</v>
      </c>
      <c r="R9" s="107" t="s">
        <v>22</v>
      </c>
      <c r="S9" s="107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108">
        <v>3</v>
      </c>
      <c r="O10" s="108">
        <v>3</v>
      </c>
      <c r="P10" s="8">
        <v>3</v>
      </c>
      <c r="Q10" s="8">
        <v>3</v>
      </c>
      <c r="R10" s="108">
        <v>3</v>
      </c>
      <c r="S10" s="108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09"/>
      <c r="O11" s="109"/>
      <c r="P11" s="14"/>
      <c r="Q11" s="14"/>
      <c r="R11" s="109"/>
      <c r="S11" s="109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108">
        <v>4</v>
      </c>
      <c r="O12" s="108">
        <v>4</v>
      </c>
      <c r="P12" s="8">
        <v>4</v>
      </c>
      <c r="Q12" s="8">
        <v>4</v>
      </c>
      <c r="R12" s="108">
        <v>4</v>
      </c>
      <c r="S12" s="108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108">
        <v>2</v>
      </c>
      <c r="O13" s="108">
        <v>2</v>
      </c>
      <c r="P13" s="8">
        <v>2</v>
      </c>
      <c r="Q13" s="8">
        <v>2</v>
      </c>
      <c r="R13" s="108">
        <v>2</v>
      </c>
      <c r="S13" s="108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108">
        <v>1</v>
      </c>
      <c r="O14" s="108">
        <v>1</v>
      </c>
      <c r="P14" s="8">
        <v>1</v>
      </c>
      <c r="Q14" s="8">
        <v>1</v>
      </c>
      <c r="R14" s="108">
        <v>1</v>
      </c>
      <c r="S14" s="108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108" t="s">
        <v>16</v>
      </c>
      <c r="O15" s="108" t="s">
        <v>16</v>
      </c>
      <c r="P15" s="8" t="s">
        <v>16</v>
      </c>
      <c r="Q15" s="8" t="s">
        <v>16</v>
      </c>
      <c r="R15" s="108" t="s">
        <v>16</v>
      </c>
      <c r="S15" s="108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107">
        <v>23</v>
      </c>
      <c r="O16" s="107">
        <v>23</v>
      </c>
      <c r="P16" s="86">
        <v>23</v>
      </c>
      <c r="Q16" s="86">
        <v>23</v>
      </c>
      <c r="R16" s="107">
        <v>23</v>
      </c>
      <c r="S16" s="107">
        <v>23</v>
      </c>
    </row>
    <row r="17" spans="1:19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108">
        <f t="shared" si="1"/>
        <v>23</v>
      </c>
      <c r="O17" s="108">
        <f t="shared" si="1"/>
        <v>23</v>
      </c>
      <c r="P17" s="8">
        <f>P16</f>
        <v>23</v>
      </c>
      <c r="Q17" s="8">
        <f>Q16</f>
        <v>23</v>
      </c>
      <c r="R17" s="108">
        <f>R16</f>
        <v>23</v>
      </c>
      <c r="S17" s="108">
        <f>S16</f>
        <v>23</v>
      </c>
    </row>
    <row r="18" spans="1:19" ht="42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108">
        <f t="shared" si="3"/>
        <v>11.020599913279625</v>
      </c>
      <c r="O18" s="10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  <c r="R18" s="108">
        <f>R19+10*LOG10(R12/R14)-R20</f>
        <v>11.020599913279625</v>
      </c>
      <c r="S18" s="108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108">
        <v>5</v>
      </c>
      <c r="O19" s="108">
        <v>5</v>
      </c>
      <c r="P19" s="8">
        <v>5</v>
      </c>
      <c r="Q19" s="8">
        <v>5</v>
      </c>
      <c r="R19" s="108">
        <v>5</v>
      </c>
      <c r="S19" s="108">
        <v>5</v>
      </c>
    </row>
    <row r="20" spans="1:19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107">
        <v>0</v>
      </c>
      <c r="O20" s="107">
        <v>0</v>
      </c>
      <c r="P20" s="86">
        <v>0</v>
      </c>
      <c r="Q20" s="86">
        <v>0</v>
      </c>
      <c r="R20" s="107">
        <v>0</v>
      </c>
      <c r="S20" s="107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108">
        <v>0</v>
      </c>
      <c r="O21" s="108">
        <v>0</v>
      </c>
      <c r="P21" s="8">
        <v>0</v>
      </c>
      <c r="Q21" s="8">
        <v>0</v>
      </c>
      <c r="R21" s="108">
        <v>0</v>
      </c>
      <c r="S21" s="108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8">
        <v>0</v>
      </c>
      <c r="O22" s="108">
        <v>0</v>
      </c>
      <c r="P22" s="8">
        <v>0</v>
      </c>
      <c r="Q22" s="8">
        <v>0</v>
      </c>
      <c r="R22" s="108">
        <v>0</v>
      </c>
      <c r="S22" s="10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8">
        <v>0</v>
      </c>
      <c r="O23" s="108">
        <v>0</v>
      </c>
      <c r="P23" s="8">
        <v>0</v>
      </c>
      <c r="Q23" s="8">
        <v>0</v>
      </c>
      <c r="R23" s="108">
        <v>0</v>
      </c>
      <c r="S23" s="108">
        <v>0</v>
      </c>
    </row>
    <row r="24" spans="1:1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108">
        <v>1</v>
      </c>
      <c r="O24" s="108">
        <v>1</v>
      </c>
      <c r="P24" s="8">
        <v>1</v>
      </c>
      <c r="Q24" s="8">
        <v>1</v>
      </c>
      <c r="R24" s="108">
        <v>1</v>
      </c>
      <c r="S24" s="108">
        <v>1</v>
      </c>
    </row>
    <row r="25" spans="1:19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108">
        <f t="shared" si="5"/>
        <v>33.020599913279625</v>
      </c>
      <c r="O25" s="10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  <c r="R25" s="108">
        <f>R17+R18+R21+R22-R24</f>
        <v>33.020599913279625</v>
      </c>
      <c r="S25" s="108">
        <f>S17+S18+S21+S22-S24</f>
        <v>33.020599913279625</v>
      </c>
    </row>
    <row r="26" spans="1:1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09"/>
      <c r="O27" s="109"/>
      <c r="P27" s="14"/>
      <c r="Q27" s="14"/>
      <c r="R27" s="109"/>
      <c r="S27" s="109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108">
        <v>128</v>
      </c>
      <c r="O28" s="108">
        <v>128</v>
      </c>
      <c r="P28" s="8">
        <v>128</v>
      </c>
      <c r="Q28" s="8">
        <v>128</v>
      </c>
      <c r="R28" s="108">
        <v>128</v>
      </c>
      <c r="S28" s="108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108">
        <v>2</v>
      </c>
      <c r="O29" s="108">
        <v>2</v>
      </c>
      <c r="P29" s="8">
        <v>2</v>
      </c>
      <c r="Q29" s="8">
        <v>2</v>
      </c>
      <c r="R29" s="108">
        <v>2</v>
      </c>
      <c r="S29" s="108">
        <v>2</v>
      </c>
    </row>
    <row r="30" spans="1:19" ht="42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108">
        <f t="shared" si="7"/>
        <v>26.061799739838872</v>
      </c>
      <c r="O30" s="10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  <c r="R30" s="108">
        <f>R31+10*LOG10(R28/R13)-R32</f>
        <v>17.091799739838869</v>
      </c>
      <c r="S30" s="108">
        <f>S31+10*LOG10(S28/S13)-S32</f>
        <v>17.091799739838869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108">
        <v>8</v>
      </c>
      <c r="O31" s="108">
        <v>8</v>
      </c>
      <c r="P31" s="8">
        <v>8</v>
      </c>
      <c r="Q31" s="8">
        <v>8</v>
      </c>
      <c r="R31" s="108">
        <v>8</v>
      </c>
      <c r="S31" s="108">
        <v>8</v>
      </c>
    </row>
    <row r="32" spans="1:19" ht="42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107">
        <v>0</v>
      </c>
      <c r="O32" s="107">
        <v>0</v>
      </c>
      <c r="P32" s="86">
        <v>0</v>
      </c>
      <c r="Q32" s="86">
        <v>0</v>
      </c>
      <c r="R32" s="107">
        <v>8.9700000000000006</v>
      </c>
      <c r="S32" s="107">
        <v>8.9700000000000006</v>
      </c>
    </row>
    <row r="33" spans="1:19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107">
        <v>0</v>
      </c>
      <c r="O33" s="107">
        <v>0</v>
      </c>
      <c r="P33" s="86">
        <v>0</v>
      </c>
      <c r="Q33" s="86">
        <v>0</v>
      </c>
      <c r="R33" s="107">
        <v>0</v>
      </c>
      <c r="S33" s="107">
        <v>0</v>
      </c>
    </row>
    <row r="34" spans="1:19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108">
        <v>3</v>
      </c>
      <c r="O34" s="108">
        <v>3</v>
      </c>
      <c r="P34" s="8">
        <v>3</v>
      </c>
      <c r="Q34" s="8">
        <v>3</v>
      </c>
      <c r="R34" s="108">
        <v>3</v>
      </c>
      <c r="S34" s="108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108">
        <v>5</v>
      </c>
      <c r="O35" s="108">
        <v>5</v>
      </c>
      <c r="P35" s="8">
        <v>5</v>
      </c>
      <c r="Q35" s="8">
        <v>5</v>
      </c>
      <c r="R35" s="108">
        <v>5</v>
      </c>
      <c r="S35" s="10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108">
        <v>-174</v>
      </c>
      <c r="O36" s="108">
        <v>-174</v>
      </c>
      <c r="P36" s="8">
        <v>-174</v>
      </c>
      <c r="Q36" s="8">
        <v>-174</v>
      </c>
      <c r="R36" s="108">
        <v>-174</v>
      </c>
      <c r="S36" s="108">
        <v>-174</v>
      </c>
    </row>
    <row r="37" spans="1:1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107">
        <v>-174.9</v>
      </c>
      <c r="O37" s="107">
        <v>-174.9</v>
      </c>
      <c r="P37" s="86">
        <v>-999</v>
      </c>
      <c r="Q37" s="86">
        <v>-999</v>
      </c>
      <c r="R37" s="107">
        <v>-999</v>
      </c>
      <c r="S37" s="107">
        <v>-999</v>
      </c>
    </row>
    <row r="38" spans="1:1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108" t="s">
        <v>16</v>
      </c>
      <c r="O38" s="108" t="s">
        <v>16</v>
      </c>
      <c r="P38" s="8" t="s">
        <v>16</v>
      </c>
      <c r="Q38" s="8" t="s">
        <v>16</v>
      </c>
      <c r="R38" s="108" t="s">
        <v>16</v>
      </c>
      <c r="S38" s="108" t="s">
        <v>16</v>
      </c>
    </row>
    <row r="39" spans="1:19" ht="28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108">
        <f t="shared" si="9"/>
        <v>-168.00651048203736</v>
      </c>
      <c r="O39" s="10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  <c r="R39" s="108">
        <f>10*LOG10(10^((R35+R36)/10)+10^(R37/10))</f>
        <v>-169.00000000000003</v>
      </c>
      <c r="S39" s="108">
        <f>10*LOG10(10^((S35+S36)/10)+10^(S37/10))</f>
        <v>-169.00000000000003</v>
      </c>
    </row>
    <row r="40" spans="1:19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S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108">
        <f t="shared" si="11"/>
        <v>1440000</v>
      </c>
      <c r="O41" s="108">
        <f t="shared" si="11"/>
        <v>1440000</v>
      </c>
      <c r="P41" s="8">
        <f t="shared" si="11"/>
        <v>1440000</v>
      </c>
      <c r="Q41" s="8">
        <f t="shared" si="11"/>
        <v>1440000</v>
      </c>
      <c r="R41" s="108">
        <f t="shared" si="11"/>
        <v>1440000</v>
      </c>
      <c r="S41" s="108">
        <f t="shared" si="11"/>
        <v>1440000</v>
      </c>
    </row>
    <row r="42" spans="1:1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108" t="s">
        <v>16</v>
      </c>
      <c r="O42" s="108" t="s">
        <v>16</v>
      </c>
      <c r="P42" s="8" t="s">
        <v>16</v>
      </c>
      <c r="Q42" s="8" t="s">
        <v>16</v>
      </c>
      <c r="R42" s="108" t="s">
        <v>16</v>
      </c>
      <c r="S42" s="108" t="s">
        <v>16</v>
      </c>
    </row>
    <row r="43" spans="1:19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108">
        <f t="shared" si="13"/>
        <v>-106.42288556108485</v>
      </c>
      <c r="O43" s="10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  <c r="R43" s="108">
        <f>R39+10*LOG10(R41)</f>
        <v>-107.41637507904753</v>
      </c>
      <c r="S43" s="108">
        <f>S39+10*LOG10(S41)</f>
        <v>-107.41637507904753</v>
      </c>
    </row>
    <row r="44" spans="1:1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111">
        <v>-0.17</v>
      </c>
      <c r="O45" s="111">
        <v>-0.17</v>
      </c>
      <c r="P45" s="88">
        <v>-0.65629999999999999</v>
      </c>
      <c r="Q45" s="88">
        <v>-0.65629999999999999</v>
      </c>
      <c r="R45" s="111">
        <v>-1.7</v>
      </c>
      <c r="S45" s="111">
        <v>-1.7</v>
      </c>
    </row>
    <row r="46" spans="1:1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108" t="s">
        <v>16</v>
      </c>
      <c r="O46" s="108" t="s">
        <v>16</v>
      </c>
      <c r="P46" s="8" t="s">
        <v>16</v>
      </c>
      <c r="Q46" s="8" t="s">
        <v>16</v>
      </c>
      <c r="R46" s="108" t="s">
        <v>16</v>
      </c>
      <c r="S46" s="108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108">
        <v>2</v>
      </c>
      <c r="O47" s="108">
        <v>2</v>
      </c>
      <c r="P47" s="8">
        <v>2</v>
      </c>
      <c r="Q47" s="8">
        <v>2</v>
      </c>
      <c r="R47" s="108">
        <v>2</v>
      </c>
      <c r="S47" s="108">
        <v>2</v>
      </c>
    </row>
    <row r="48" spans="1:1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108">
        <v>0</v>
      </c>
      <c r="O48" s="108">
        <v>0</v>
      </c>
      <c r="P48" s="8">
        <v>0</v>
      </c>
      <c r="Q48" s="8">
        <v>0</v>
      </c>
      <c r="R48" s="108">
        <v>0</v>
      </c>
      <c r="S48" s="108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28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108">
        <f t="shared" si="15"/>
        <v>-104.59288556108486</v>
      </c>
      <c r="O50" s="10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  <c r="R50" s="108">
        <f>R43+R45+R47-R48</f>
        <v>-107.11637507904753</v>
      </c>
      <c r="S50" s="108">
        <f>S43+S45+S47-S48</f>
        <v>-107.11637507904753</v>
      </c>
    </row>
    <row r="51" spans="1:19" ht="28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108" t="s">
        <v>16</v>
      </c>
      <c r="O51" s="108" t="s">
        <v>16</v>
      </c>
      <c r="P51" s="8" t="s">
        <v>16</v>
      </c>
      <c r="Q51" s="8" t="s">
        <v>16</v>
      </c>
      <c r="R51" s="108" t="s">
        <v>16</v>
      </c>
      <c r="S51" s="108" t="s">
        <v>16</v>
      </c>
    </row>
    <row r="52" spans="1:19" ht="28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S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112">
        <f t="shared" si="17"/>
        <v>160.67528521420337</v>
      </c>
      <c r="O52" s="112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  <c r="R52" s="112">
        <f t="shared" si="17"/>
        <v>154.22877473216602</v>
      </c>
      <c r="S52" s="112">
        <f t="shared" si="17"/>
        <v>154.22877473216602</v>
      </c>
    </row>
    <row r="53" spans="1:19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15" t="s">
        <v>16</v>
      </c>
      <c r="O53" s="115" t="s">
        <v>16</v>
      </c>
      <c r="P53" s="100" t="s">
        <v>16</v>
      </c>
      <c r="Q53" s="100" t="s">
        <v>16</v>
      </c>
      <c r="R53" s="115" t="s">
        <v>16</v>
      </c>
      <c r="S53" s="115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09"/>
      <c r="O54" s="109"/>
      <c r="P54" s="14"/>
      <c r="Q54" s="14"/>
      <c r="R54" s="109"/>
      <c r="S54" s="109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107">
        <v>0</v>
      </c>
      <c r="O55" s="107">
        <v>0</v>
      </c>
      <c r="P55" s="86">
        <v>0</v>
      </c>
      <c r="Q55" s="86">
        <v>0</v>
      </c>
      <c r="R55" s="107">
        <v>0</v>
      </c>
      <c r="S55" s="107">
        <v>0</v>
      </c>
    </row>
    <row r="56" spans="1:19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107">
        <v>0</v>
      </c>
      <c r="O56" s="107">
        <v>0</v>
      </c>
      <c r="P56" s="86">
        <v>0</v>
      </c>
      <c r="Q56" s="86">
        <v>0</v>
      </c>
      <c r="R56" s="107">
        <v>0</v>
      </c>
      <c r="S56" s="107">
        <v>0</v>
      </c>
    </row>
    <row r="57" spans="1:19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107">
        <v>0</v>
      </c>
      <c r="O58" s="107">
        <v>0</v>
      </c>
      <c r="P58" s="86">
        <v>0</v>
      </c>
      <c r="Q58" s="86">
        <v>0</v>
      </c>
      <c r="R58" s="107">
        <v>0</v>
      </c>
      <c r="S58" s="107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107">
        <v>0</v>
      </c>
      <c r="O59" s="107">
        <v>0</v>
      </c>
      <c r="P59" s="86">
        <v>0</v>
      </c>
      <c r="Q59" s="86">
        <v>0</v>
      </c>
      <c r="R59" s="107">
        <v>0</v>
      </c>
      <c r="S59" s="107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107">
        <v>0</v>
      </c>
      <c r="O60" s="107">
        <v>0</v>
      </c>
      <c r="P60" s="86">
        <v>0</v>
      </c>
      <c r="Q60" s="86">
        <v>0</v>
      </c>
      <c r="R60" s="107">
        <v>0</v>
      </c>
      <c r="S60" s="107">
        <v>0</v>
      </c>
    </row>
    <row r="61" spans="1:19" ht="28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S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112">
        <f t="shared" si="19"/>
        <v>160.67528521420337</v>
      </c>
      <c r="O61" s="112">
        <f t="shared" si="19"/>
        <v>160.67528521420337</v>
      </c>
      <c r="P61" s="39">
        <f t="shared" si="19"/>
        <v>162.15507473216604</v>
      </c>
      <c r="Q61" s="39">
        <f t="shared" si="19"/>
        <v>162.15507473216604</v>
      </c>
      <c r="R61" s="112">
        <f t="shared" si="19"/>
        <v>154.22877473216602</v>
      </c>
      <c r="S61" s="112">
        <f t="shared" si="19"/>
        <v>154.22877473216602</v>
      </c>
    </row>
    <row r="62" spans="1:19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15" t="s">
        <v>16</v>
      </c>
      <c r="O62" s="115" t="s">
        <v>16</v>
      </c>
      <c r="P62" s="100" t="s">
        <v>16</v>
      </c>
      <c r="Q62" s="100" t="s">
        <v>16</v>
      </c>
      <c r="R62" s="115" t="s">
        <v>16</v>
      </c>
      <c r="S62" s="115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  <c r="S63" s="101"/>
    </row>
    <row r="64" spans="1:19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112">
        <f t="shared" si="21"/>
        <v>127.59288556108486</v>
      </c>
      <c r="O64" s="112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  <c r="R64" s="112">
        <f>R17+R22-R50+R21+R33</f>
        <v>130.11637507904754</v>
      </c>
      <c r="S64" s="112">
        <f>S17+S22-S50+S21+S33</f>
        <v>130.11637507904754</v>
      </c>
    </row>
    <row r="65" spans="1:1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15" t="s">
        <v>16</v>
      </c>
      <c r="O65" s="115" t="s">
        <v>16</v>
      </c>
      <c r="P65" s="100" t="s">
        <v>16</v>
      </c>
      <c r="Q65" s="100" t="s">
        <v>16</v>
      </c>
      <c r="R65" s="115" t="s">
        <v>16</v>
      </c>
      <c r="S65" s="11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R54" activePane="bottomRight" state="frozen"/>
      <selection pane="topRight"/>
      <selection pane="bottomLeft"/>
      <selection pane="bottomRight" activeCell="T1" sqref="T1:U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7.75" style="1" customWidth="1"/>
    <col min="5" max="5" width="15.6640625" style="2" customWidth="1"/>
    <col min="6" max="6" width="17.75" style="1" customWidth="1"/>
    <col min="7" max="7" width="15.6640625" style="80" customWidth="1"/>
    <col min="8" max="9" width="17.75" style="1" customWidth="1"/>
    <col min="10" max="11" width="14.6640625" style="1" bestFit="1" customWidth="1"/>
    <col min="12" max="12" width="15.6640625" style="2" customWidth="1"/>
    <col min="13" max="13" width="17.75" style="1" customWidth="1"/>
    <col min="14" max="14" width="15.6640625" style="2" customWidth="1"/>
    <col min="15" max="16" width="17.75" style="1" customWidth="1"/>
    <col min="17" max="17" width="15.6640625" style="2" customWidth="1"/>
    <col min="18" max="20" width="17.75" style="1" customWidth="1"/>
    <col min="21" max="21" width="16.83203125" style="1" customWidth="1"/>
    <col min="22" max="23" width="17.6640625" style="1" customWidth="1"/>
    <col min="24" max="24" width="15.6640625" style="101" customWidth="1"/>
    <col min="25" max="25" width="17.75" style="106" customWidth="1"/>
    <col min="26" max="16384" width="9" style="1"/>
  </cols>
  <sheetData>
    <row r="1" spans="1:25" ht="14.25" customHeight="1">
      <c r="A1" s="3"/>
      <c r="B1" s="121" t="s">
        <v>101</v>
      </c>
      <c r="C1" s="122"/>
      <c r="D1" s="123"/>
      <c r="E1" s="121" t="s">
        <v>102</v>
      </c>
      <c r="F1" s="122"/>
      <c r="G1" s="125" t="s">
        <v>119</v>
      </c>
      <c r="H1" s="126"/>
      <c r="I1" s="127"/>
      <c r="J1" s="121" t="s">
        <v>125</v>
      </c>
      <c r="K1" s="122"/>
      <c r="L1" s="121" t="s">
        <v>126</v>
      </c>
      <c r="M1" s="122"/>
      <c r="N1" s="121" t="s">
        <v>127</v>
      </c>
      <c r="O1" s="122"/>
      <c r="P1" s="123"/>
      <c r="Q1" s="121" t="s">
        <v>128</v>
      </c>
      <c r="R1" s="122"/>
      <c r="S1" s="123"/>
      <c r="T1" s="121" t="s">
        <v>129</v>
      </c>
      <c r="U1" s="122"/>
      <c r="V1" s="121" t="s">
        <v>133</v>
      </c>
      <c r="W1" s="122"/>
      <c r="X1" s="130" t="s">
        <v>135</v>
      </c>
      <c r="Y1" s="131"/>
    </row>
    <row r="2" spans="1:25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  <c r="X2" s="113" t="s">
        <v>112</v>
      </c>
      <c r="Y2" s="114" t="s">
        <v>114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108">
        <v>28</v>
      </c>
      <c r="U3" s="108">
        <v>28</v>
      </c>
      <c r="V3" s="8">
        <v>28</v>
      </c>
      <c r="W3" s="8">
        <v>28</v>
      </c>
      <c r="X3" s="108">
        <v>28</v>
      </c>
      <c r="Y3" s="108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108">
        <v>100</v>
      </c>
      <c r="U4" s="108">
        <v>100</v>
      </c>
      <c r="V4" s="8">
        <v>100</v>
      </c>
      <c r="W4" s="8">
        <v>100</v>
      </c>
      <c r="X4" s="108">
        <v>100</v>
      </c>
      <c r="Y4" s="108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108">
        <v>5000000</v>
      </c>
      <c r="U6" s="108">
        <v>5000000</v>
      </c>
      <c r="V6" s="8">
        <v>5000000</v>
      </c>
      <c r="W6" s="8">
        <v>5000000</v>
      </c>
      <c r="X6" s="108">
        <v>5000000</v>
      </c>
      <c r="Y6" s="108">
        <v>5000000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110">
        <v>0.1</v>
      </c>
      <c r="U8" s="110">
        <v>0.1</v>
      </c>
      <c r="V8" s="43">
        <v>0.1</v>
      </c>
      <c r="W8" s="43">
        <v>0.1</v>
      </c>
      <c r="X8" s="110">
        <v>0.1</v>
      </c>
      <c r="Y8" s="110">
        <v>0.1</v>
      </c>
    </row>
    <row r="9" spans="1:2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107" t="s">
        <v>22</v>
      </c>
      <c r="U9" s="107" t="s">
        <v>22</v>
      </c>
      <c r="V9" s="86" t="s">
        <v>22</v>
      </c>
      <c r="W9" s="86" t="s">
        <v>22</v>
      </c>
      <c r="X9" s="107" t="s">
        <v>22</v>
      </c>
      <c r="Y9" s="107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108">
        <v>3</v>
      </c>
      <c r="U10" s="108">
        <v>3</v>
      </c>
      <c r="V10" s="8">
        <v>3</v>
      </c>
      <c r="W10" s="8">
        <v>3</v>
      </c>
      <c r="X10" s="108">
        <v>3</v>
      </c>
      <c r="Y10" s="108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09"/>
      <c r="U11" s="109"/>
      <c r="V11" s="14"/>
      <c r="W11" s="14"/>
      <c r="X11" s="109"/>
      <c r="Y11" s="109"/>
    </row>
    <row r="12" spans="1:2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108">
        <v>4</v>
      </c>
      <c r="U12" s="108">
        <v>4</v>
      </c>
      <c r="V12" s="8">
        <v>4</v>
      </c>
      <c r="W12" s="8">
        <v>4</v>
      </c>
      <c r="X12" s="108">
        <v>4</v>
      </c>
      <c r="Y12" s="108">
        <v>4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108">
        <v>2</v>
      </c>
      <c r="U13" s="108">
        <v>2</v>
      </c>
      <c r="V13" s="8">
        <v>2</v>
      </c>
      <c r="W13" s="8">
        <v>2</v>
      </c>
      <c r="X13" s="108">
        <v>2</v>
      </c>
      <c r="Y13" s="108">
        <v>2</v>
      </c>
    </row>
    <row r="14" spans="1:2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108">
        <v>1</v>
      </c>
      <c r="U14" s="108">
        <v>1</v>
      </c>
      <c r="V14" s="8">
        <v>1</v>
      </c>
      <c r="W14" s="8">
        <v>1</v>
      </c>
      <c r="X14" s="108">
        <v>1</v>
      </c>
      <c r="Y14" s="108">
        <v>1</v>
      </c>
    </row>
    <row r="15" spans="1:2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108" t="s">
        <v>16</v>
      </c>
      <c r="U15" s="108" t="s">
        <v>16</v>
      </c>
      <c r="V15" s="8" t="s">
        <v>16</v>
      </c>
      <c r="W15" s="8" t="s">
        <v>16</v>
      </c>
      <c r="X15" s="108" t="s">
        <v>16</v>
      </c>
      <c r="Y15" s="108" t="s">
        <v>16</v>
      </c>
    </row>
    <row r="16" spans="1:2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107">
        <v>23</v>
      </c>
      <c r="U16" s="107">
        <v>23</v>
      </c>
      <c r="V16" s="86">
        <v>23</v>
      </c>
      <c r="W16" s="86">
        <v>23</v>
      </c>
      <c r="X16" s="107">
        <v>23</v>
      </c>
      <c r="Y16" s="107">
        <v>23</v>
      </c>
    </row>
    <row r="17" spans="1:25" ht="28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108">
        <f t="shared" si="2"/>
        <v>23</v>
      </c>
      <c r="U17" s="108">
        <f t="shared" si="2"/>
        <v>23</v>
      </c>
      <c r="V17" s="8">
        <f>V16</f>
        <v>23</v>
      </c>
      <c r="W17" s="8">
        <f>W16</f>
        <v>23</v>
      </c>
      <c r="X17" s="108">
        <f t="shared" ref="X17:Y17" si="3">X16</f>
        <v>23</v>
      </c>
      <c r="Y17" s="108">
        <f t="shared" si="3"/>
        <v>23</v>
      </c>
    </row>
    <row r="18" spans="1:25" ht="42">
      <c r="A18" s="16" t="s">
        <v>37</v>
      </c>
      <c r="B18" s="15">
        <f t="shared" ref="B18:F18" si="4">B19+10*LOG10(B12/B14)-B20</f>
        <v>11.020599913279625</v>
      </c>
      <c r="C18" s="15">
        <f t="shared" si="4"/>
        <v>11.020599913279625</v>
      </c>
      <c r="D18" s="15">
        <f t="shared" si="4"/>
        <v>11.020599913279625</v>
      </c>
      <c r="E18" s="15">
        <f t="shared" si="4"/>
        <v>11.020599913279625</v>
      </c>
      <c r="F18" s="15">
        <f t="shared" si="4"/>
        <v>11.020599913279625</v>
      </c>
      <c r="G18" s="73">
        <f t="shared" ref="G18:M18" si="5">G19+10*LOG10(G12/G14)-G20</f>
        <v>11.020599913279625</v>
      </c>
      <c r="H18" s="73">
        <f t="shared" si="5"/>
        <v>11.020599913279625</v>
      </c>
      <c r="I18" s="73">
        <f t="shared" si="5"/>
        <v>11.020599913279625</v>
      </c>
      <c r="J18" s="15">
        <f t="shared" si="5"/>
        <v>11.020599913279625</v>
      </c>
      <c r="K18" s="15">
        <f t="shared" si="5"/>
        <v>11.020599913279625</v>
      </c>
      <c r="L18" s="8">
        <f t="shared" si="5"/>
        <v>11.020599913279625</v>
      </c>
      <c r="M18" s="8">
        <f t="shared" si="5"/>
        <v>11.020599913279625</v>
      </c>
      <c r="N18" s="15">
        <f t="shared" ref="N18:U18" si="6">N19+10*LOG10(N12/N14)-N20</f>
        <v>11.020599913279625</v>
      </c>
      <c r="O18" s="15">
        <f t="shared" si="6"/>
        <v>11.020599913279625</v>
      </c>
      <c r="P18" s="15">
        <f t="shared" si="6"/>
        <v>11.020599913279625</v>
      </c>
      <c r="Q18" s="8">
        <f t="shared" si="6"/>
        <v>6.0205999132796251</v>
      </c>
      <c r="R18" s="8">
        <f t="shared" si="6"/>
        <v>6.0205999132796251</v>
      </c>
      <c r="S18" s="8">
        <f t="shared" si="6"/>
        <v>11.020599913279625</v>
      </c>
      <c r="T18" s="108">
        <f t="shared" si="6"/>
        <v>11.020599913279625</v>
      </c>
      <c r="U18" s="108">
        <f t="shared" si="6"/>
        <v>11.020599913279625</v>
      </c>
      <c r="V18" s="8">
        <f>V19+10*LOG10(V12/V14)-V20</f>
        <v>11.020599913279625</v>
      </c>
      <c r="W18" s="8">
        <f>W19+10*LOG10(W12/W14)-W20</f>
        <v>11.020599913279625</v>
      </c>
      <c r="X18" s="108">
        <f t="shared" ref="X18:Y18" si="7">X19+10*LOG10(X12/X14)-X20</f>
        <v>11.020599913279625</v>
      </c>
      <c r="Y18" s="108">
        <f t="shared" si="7"/>
        <v>11.020599913279625</v>
      </c>
    </row>
    <row r="19" spans="1:2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108">
        <v>5</v>
      </c>
      <c r="U19" s="108">
        <v>5</v>
      </c>
      <c r="V19" s="8">
        <v>5</v>
      </c>
      <c r="W19" s="8">
        <v>5</v>
      </c>
      <c r="X19" s="108">
        <v>5</v>
      </c>
      <c r="Y19" s="108">
        <v>5</v>
      </c>
    </row>
    <row r="20" spans="1:25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107">
        <v>0</v>
      </c>
      <c r="U20" s="107">
        <v>0</v>
      </c>
      <c r="V20" s="86">
        <v>0</v>
      </c>
      <c r="W20" s="86">
        <v>0</v>
      </c>
      <c r="X20" s="107">
        <v>0</v>
      </c>
      <c r="Y20" s="107">
        <v>0</v>
      </c>
    </row>
    <row r="21" spans="1:2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108">
        <v>0</v>
      </c>
      <c r="U21" s="108">
        <v>0</v>
      </c>
      <c r="V21" s="8">
        <v>0</v>
      </c>
      <c r="W21" s="8">
        <v>0</v>
      </c>
      <c r="X21" s="108">
        <v>0</v>
      </c>
      <c r="Y21" s="10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08">
        <v>0</v>
      </c>
      <c r="U22" s="108">
        <v>0</v>
      </c>
      <c r="V22" s="8">
        <v>0</v>
      </c>
      <c r="W22" s="8">
        <v>0</v>
      </c>
      <c r="X22" s="108">
        <v>0</v>
      </c>
      <c r="Y22" s="10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08">
        <v>0</v>
      </c>
      <c r="U23" s="108">
        <v>0</v>
      </c>
      <c r="V23" s="8">
        <v>0</v>
      </c>
      <c r="W23" s="8">
        <v>0</v>
      </c>
      <c r="X23" s="108">
        <v>0</v>
      </c>
      <c r="Y23" s="108">
        <v>0</v>
      </c>
    </row>
    <row r="24" spans="1:2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8">
        <v>1</v>
      </c>
      <c r="U24" s="108">
        <v>1</v>
      </c>
      <c r="V24" s="8">
        <v>1</v>
      </c>
      <c r="W24" s="8">
        <v>1</v>
      </c>
      <c r="X24" s="108">
        <v>1</v>
      </c>
      <c r="Y24" s="108">
        <v>1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8">
        <f t="shared" ref="B26:F26" si="8">B17+B18+B21-B23-B24</f>
        <v>22.020599913279625</v>
      </c>
      <c r="C26" s="8">
        <f t="shared" si="8"/>
        <v>22.020599913279625</v>
      </c>
      <c r="D26" s="8">
        <f t="shared" si="8"/>
        <v>22.020599913279625</v>
      </c>
      <c r="E26" s="8">
        <f t="shared" si="8"/>
        <v>33.020599913279625</v>
      </c>
      <c r="F26" s="8">
        <f t="shared" si="8"/>
        <v>33.020599913279625</v>
      </c>
      <c r="G26" s="69">
        <f t="shared" ref="G26:M26" si="9">G17+G18+G21-G23-G24</f>
        <v>33.020599913279625</v>
      </c>
      <c r="H26" s="69">
        <f t="shared" si="9"/>
        <v>33.020599913279625</v>
      </c>
      <c r="I26" s="69">
        <f t="shared" si="9"/>
        <v>33.020599913279625</v>
      </c>
      <c r="J26" s="8">
        <f t="shared" si="9"/>
        <v>22.020599913279625</v>
      </c>
      <c r="K26" s="8">
        <f t="shared" si="9"/>
        <v>22.020599913279625</v>
      </c>
      <c r="L26" s="8">
        <f t="shared" si="9"/>
        <v>33.020599913279625</v>
      </c>
      <c r="M26" s="8">
        <f t="shared" si="9"/>
        <v>33.020599913279625</v>
      </c>
      <c r="N26" s="8">
        <f t="shared" ref="N26:U26" si="10">N17+N18+N21-N23-N24</f>
        <v>33.020599913279625</v>
      </c>
      <c r="O26" s="8">
        <f t="shared" si="10"/>
        <v>33.020599913279625</v>
      </c>
      <c r="P26" s="8">
        <f t="shared" si="10"/>
        <v>33.020599913279625</v>
      </c>
      <c r="Q26" s="8">
        <f t="shared" si="10"/>
        <v>28.020599913279625</v>
      </c>
      <c r="R26" s="8">
        <f t="shared" si="10"/>
        <v>28.020599913279625</v>
      </c>
      <c r="S26" s="8">
        <f t="shared" si="10"/>
        <v>33.020599913279625</v>
      </c>
      <c r="T26" s="108">
        <f t="shared" si="10"/>
        <v>33.020599913279625</v>
      </c>
      <c r="U26" s="108">
        <f t="shared" si="10"/>
        <v>33.020599913279625</v>
      </c>
      <c r="V26" s="8">
        <f>V17+V18+V21-V23-V24</f>
        <v>33.020599913279625</v>
      </c>
      <c r="W26" s="8">
        <f>W17+W18+W21-W23-W24</f>
        <v>33.020599913279625</v>
      </c>
      <c r="X26" s="108">
        <f t="shared" ref="X26:Y26" si="11">X17+X18+X21-X23-X24</f>
        <v>33.020599913279625</v>
      </c>
      <c r="Y26" s="108">
        <f t="shared" si="11"/>
        <v>33.020599913279625</v>
      </c>
    </row>
    <row r="27" spans="1:2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09"/>
      <c r="U27" s="109"/>
      <c r="V27" s="14"/>
      <c r="W27" s="14"/>
      <c r="X27" s="109"/>
      <c r="Y27" s="109"/>
    </row>
    <row r="28" spans="1:2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108">
        <v>128</v>
      </c>
      <c r="U28" s="108">
        <v>128</v>
      </c>
      <c r="V28" s="8">
        <v>128</v>
      </c>
      <c r="W28" s="8">
        <v>128</v>
      </c>
      <c r="X28" s="108">
        <v>128</v>
      </c>
      <c r="Y28" s="108">
        <v>128</v>
      </c>
    </row>
    <row r="29" spans="1:2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108">
        <v>2</v>
      </c>
      <c r="U29" s="108">
        <v>2</v>
      </c>
      <c r="V29" s="8">
        <v>2</v>
      </c>
      <c r="W29" s="8">
        <v>2</v>
      </c>
      <c r="X29" s="108">
        <v>2</v>
      </c>
      <c r="Y29" s="108">
        <v>2</v>
      </c>
    </row>
    <row r="30" spans="1:25" ht="42">
      <c r="A30" s="7" t="s">
        <v>55</v>
      </c>
      <c r="B30" s="15">
        <f t="shared" ref="B30:F30" si="12">B31+10*LOG10(B28/B13)-B32</f>
        <v>26.061799739838872</v>
      </c>
      <c r="C30" s="15">
        <f t="shared" si="12"/>
        <v>26.061799739838872</v>
      </c>
      <c r="D30" s="15">
        <f t="shared" si="12"/>
        <v>26.061799739838872</v>
      </c>
      <c r="E30" s="15">
        <f t="shared" si="12"/>
        <v>20.591799739838873</v>
      </c>
      <c r="F30" s="15">
        <f t="shared" si="12"/>
        <v>20.591799739838873</v>
      </c>
      <c r="G30" s="73">
        <f t="shared" ref="G30:M30" si="13">G31+10*LOG10(G28/G13)-G32</f>
        <v>26.061799739838872</v>
      </c>
      <c r="H30" s="73">
        <f t="shared" si="13"/>
        <v>26.061799739838872</v>
      </c>
      <c r="I30" s="73">
        <f t="shared" si="13"/>
        <v>26.061799739838872</v>
      </c>
      <c r="J30" s="15">
        <f t="shared" si="13"/>
        <v>26.061799739838872</v>
      </c>
      <c r="K30" s="15">
        <f t="shared" si="13"/>
        <v>26.061799739838872</v>
      </c>
      <c r="L30" s="8">
        <f t="shared" si="13"/>
        <v>26.061799739838872</v>
      </c>
      <c r="M30" s="8">
        <f t="shared" si="13"/>
        <v>26.061799739838872</v>
      </c>
      <c r="N30" s="15">
        <f t="shared" ref="N30:U30" si="14">N31+10*LOG10(N28/N13)-N32</f>
        <v>26.061799739838872</v>
      </c>
      <c r="O30" s="15">
        <f t="shared" si="14"/>
        <v>26.061799739838872</v>
      </c>
      <c r="P30" s="15">
        <f t="shared" si="14"/>
        <v>26.061799739838872</v>
      </c>
      <c r="Q30" s="8">
        <f t="shared" si="14"/>
        <v>17.061799739838872</v>
      </c>
      <c r="R30" s="8">
        <f t="shared" si="14"/>
        <v>17.061799739838872</v>
      </c>
      <c r="S30" s="8">
        <f t="shared" si="14"/>
        <v>17.061799739838872</v>
      </c>
      <c r="T30" s="108">
        <f t="shared" si="14"/>
        <v>26.061799739838872</v>
      </c>
      <c r="U30" s="108">
        <f t="shared" si="14"/>
        <v>26.061799739838872</v>
      </c>
      <c r="V30" s="8">
        <f>V31+10*LOG10(V28/V13)-V32</f>
        <v>26.061799739838872</v>
      </c>
      <c r="W30" s="8">
        <f>W31+10*LOG10(W28/W13)-W32</f>
        <v>26.061799739838872</v>
      </c>
      <c r="X30" s="108">
        <f t="shared" ref="X30:Y30" si="15">X31+10*LOG10(X28/X13)-X32</f>
        <v>17.091799739838869</v>
      </c>
      <c r="Y30" s="108">
        <f t="shared" si="15"/>
        <v>17.091799739838869</v>
      </c>
    </row>
    <row r="31" spans="1:2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08">
        <v>8</v>
      </c>
      <c r="U31" s="108">
        <v>8</v>
      </c>
      <c r="V31" s="8">
        <v>8</v>
      </c>
      <c r="W31" s="8">
        <v>8</v>
      </c>
      <c r="X31" s="108">
        <v>8</v>
      </c>
      <c r="Y31" s="108">
        <v>8</v>
      </c>
    </row>
    <row r="32" spans="1:25" ht="42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107">
        <v>0</v>
      </c>
      <c r="U32" s="107">
        <v>0</v>
      </c>
      <c r="V32" s="86">
        <v>0</v>
      </c>
      <c r="W32" s="86">
        <v>0</v>
      </c>
      <c r="X32" s="107">
        <v>8.9700000000000006</v>
      </c>
      <c r="Y32" s="107">
        <v>8.9700000000000006</v>
      </c>
    </row>
    <row r="33" spans="1:25" ht="28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107">
        <v>0</v>
      </c>
      <c r="U33" s="107">
        <v>0</v>
      </c>
      <c r="V33" s="86">
        <v>0</v>
      </c>
      <c r="W33" s="86">
        <v>0</v>
      </c>
      <c r="X33" s="107">
        <v>0</v>
      </c>
      <c r="Y33" s="107">
        <v>0</v>
      </c>
    </row>
    <row r="34" spans="1:25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08">
        <v>3</v>
      </c>
      <c r="U34" s="108">
        <v>3</v>
      </c>
      <c r="V34" s="8">
        <v>3</v>
      </c>
      <c r="W34" s="8">
        <v>3</v>
      </c>
      <c r="X34" s="108">
        <v>3</v>
      </c>
      <c r="Y34" s="108">
        <v>3</v>
      </c>
    </row>
    <row r="35" spans="1:2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08">
        <v>5</v>
      </c>
      <c r="U35" s="108">
        <v>5</v>
      </c>
      <c r="V35" s="8">
        <v>5</v>
      </c>
      <c r="W35" s="8">
        <v>5</v>
      </c>
      <c r="X35" s="108">
        <v>5</v>
      </c>
      <c r="Y35" s="108">
        <v>5</v>
      </c>
    </row>
    <row r="36" spans="1:2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108">
        <v>-174</v>
      </c>
      <c r="U36" s="108">
        <v>-174</v>
      </c>
      <c r="V36" s="8">
        <v>-174</v>
      </c>
      <c r="W36" s="8">
        <v>-174</v>
      </c>
      <c r="X36" s="108">
        <v>-174</v>
      </c>
      <c r="Y36" s="108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108" t="s">
        <v>16</v>
      </c>
      <c r="U37" s="108" t="s">
        <v>16</v>
      </c>
      <c r="V37" s="8" t="s">
        <v>16</v>
      </c>
      <c r="W37" s="8" t="s">
        <v>16</v>
      </c>
      <c r="X37" s="108" t="s">
        <v>16</v>
      </c>
      <c r="Y37" s="108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107">
        <v>-174.9</v>
      </c>
      <c r="U38" s="107">
        <v>-174.9</v>
      </c>
      <c r="V38" s="86">
        <v>-999</v>
      </c>
      <c r="W38" s="86">
        <v>-999</v>
      </c>
      <c r="X38" s="107">
        <v>-999</v>
      </c>
      <c r="Y38" s="107">
        <v>-999</v>
      </c>
    </row>
    <row r="39" spans="1:25" ht="28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8">
      <c r="A40" s="7" t="s">
        <v>109</v>
      </c>
      <c r="B40" s="15">
        <f t="shared" ref="B40:F40" si="16">10*LOG10(10^((B35+B36)/10)+10^(B38/10))</f>
        <v>-169.00000000000003</v>
      </c>
      <c r="C40" s="15">
        <f t="shared" si="16"/>
        <v>-169.00000000000003</v>
      </c>
      <c r="D40" s="15">
        <f t="shared" si="16"/>
        <v>-169.00000000000003</v>
      </c>
      <c r="E40" s="15">
        <f t="shared" si="16"/>
        <v>-167.00000000000003</v>
      </c>
      <c r="F40" s="15">
        <f t="shared" si="16"/>
        <v>-167.00000000000003</v>
      </c>
      <c r="G40" s="73">
        <f t="shared" ref="G40:M40" si="17">10*LOG10(10^((G35+G36)/10)+10^(G38/10))</f>
        <v>-169.00000000000003</v>
      </c>
      <c r="H40" s="73">
        <f t="shared" si="17"/>
        <v>-169.00000000000003</v>
      </c>
      <c r="I40" s="73">
        <f t="shared" si="17"/>
        <v>-169.00000000000003</v>
      </c>
      <c r="J40" s="15">
        <f t="shared" si="17"/>
        <v>-166.34726225295711</v>
      </c>
      <c r="K40" s="15">
        <f t="shared" si="17"/>
        <v>-166.34726225295711</v>
      </c>
      <c r="L40" s="8">
        <f t="shared" si="17"/>
        <v>-168.00651048203736</v>
      </c>
      <c r="M40" s="8">
        <f t="shared" si="17"/>
        <v>-168.00651048203736</v>
      </c>
      <c r="N40" s="15">
        <f t="shared" ref="N40:U40" si="18">10*LOG10(10^((N35+N36)/10)+10^(N38/10))</f>
        <v>-169.00000000000003</v>
      </c>
      <c r="O40" s="15">
        <f t="shared" si="18"/>
        <v>-169.00000000000003</v>
      </c>
      <c r="P40" s="15">
        <f t="shared" si="18"/>
        <v>-169.00000000000003</v>
      </c>
      <c r="Q40" s="8">
        <f t="shared" si="18"/>
        <v>-169.00000000000003</v>
      </c>
      <c r="R40" s="8">
        <f t="shared" si="18"/>
        <v>-169.00000000000003</v>
      </c>
      <c r="S40" s="8">
        <f t="shared" si="18"/>
        <v>-169.00000000000003</v>
      </c>
      <c r="T40" s="108">
        <f t="shared" si="18"/>
        <v>-168.00651048203736</v>
      </c>
      <c r="U40" s="108">
        <f t="shared" si="18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  <c r="X40" s="108">
        <f t="shared" ref="X40:Y40" si="19">10*LOG10(10^((X35+X36)/10)+10^(X38/10))</f>
        <v>-169.00000000000003</v>
      </c>
      <c r="Y40" s="108">
        <f t="shared" si="19"/>
        <v>-169.00000000000003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108" t="s">
        <v>16</v>
      </c>
      <c r="U41" s="108" t="s">
        <v>16</v>
      </c>
      <c r="V41" s="8" t="s">
        <v>16</v>
      </c>
      <c r="W41" s="8" t="s">
        <v>16</v>
      </c>
      <c r="X41" s="108" t="s">
        <v>16</v>
      </c>
      <c r="Y41" s="108" t="s">
        <v>16</v>
      </c>
    </row>
    <row r="42" spans="1:25">
      <c r="A42" s="21" t="s">
        <v>70</v>
      </c>
      <c r="B42" s="45">
        <f t="shared" ref="B42:F42" si="20">30*12*120*1000</f>
        <v>43200000</v>
      </c>
      <c r="C42" s="45">
        <f t="shared" si="20"/>
        <v>43200000</v>
      </c>
      <c r="D42" s="45">
        <f t="shared" si="20"/>
        <v>43200000</v>
      </c>
      <c r="E42" s="45">
        <f t="shared" si="20"/>
        <v>43200000</v>
      </c>
      <c r="F42" s="45">
        <f t="shared" si="20"/>
        <v>43200000</v>
      </c>
      <c r="G42" s="83">
        <f>66*12*120*1000</f>
        <v>95040000</v>
      </c>
      <c r="H42" s="83">
        <f t="shared" ref="H42" si="2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2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23">66*12*120*1000</f>
        <v>95040000</v>
      </c>
      <c r="S42" s="88">
        <f>32*12*120*1000</f>
        <v>46080000</v>
      </c>
      <c r="T42" s="111">
        <f>30*12*120*1000</f>
        <v>43200000</v>
      </c>
      <c r="U42" s="111">
        <f>30*12*120*1000</f>
        <v>43200000</v>
      </c>
      <c r="V42" s="88">
        <f t="shared" ref="V42" si="24">66*12*120*1000</f>
        <v>95040000</v>
      </c>
      <c r="W42" s="88">
        <f>32*12*120*1000</f>
        <v>46080000</v>
      </c>
      <c r="X42" s="111">
        <f>66*12*120*1000</f>
        <v>95040000</v>
      </c>
      <c r="Y42" s="111">
        <f t="shared" ref="Y42" si="25">66*12*120*1000</f>
        <v>95040000</v>
      </c>
    </row>
    <row r="43" spans="1:2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  <c r="X43" s="99" t="s">
        <v>16</v>
      </c>
      <c r="Y43" s="99" t="s">
        <v>16</v>
      </c>
    </row>
    <row r="44" spans="1:25">
      <c r="A44" s="7" t="s">
        <v>72</v>
      </c>
      <c r="B44" s="15">
        <f t="shared" ref="B44:F44" si="26">B40+10*LOG10(B42)</f>
        <v>-92.645162531850914</v>
      </c>
      <c r="C44" s="15">
        <f t="shared" si="26"/>
        <v>-92.645162531850914</v>
      </c>
      <c r="D44" s="15">
        <f t="shared" si="26"/>
        <v>-92.645162531850914</v>
      </c>
      <c r="E44" s="15">
        <f t="shared" si="26"/>
        <v>-90.645162531850914</v>
      </c>
      <c r="F44" s="15">
        <f t="shared" si="26"/>
        <v>-90.645162531850914</v>
      </c>
      <c r="G44" s="73">
        <f t="shared" ref="G44:M44" si="27">G40+10*LOG10(G42)</f>
        <v>-89.220935723628841</v>
      </c>
      <c r="H44" s="73">
        <f t="shared" si="27"/>
        <v>-89.220935723628841</v>
      </c>
      <c r="I44" s="73">
        <f t="shared" si="27"/>
        <v>-92.231235680268654</v>
      </c>
      <c r="J44" s="15">
        <f t="shared" si="27"/>
        <v>-89.992424784807994</v>
      </c>
      <c r="K44" s="15">
        <f t="shared" si="27"/>
        <v>-89.992424784807994</v>
      </c>
      <c r="L44" s="8">
        <f t="shared" si="27"/>
        <v>-91.651673013888242</v>
      </c>
      <c r="M44" s="8">
        <f t="shared" si="27"/>
        <v>-91.651673013888242</v>
      </c>
      <c r="N44" s="15">
        <f t="shared" ref="N44:U44" si="28">N40+10*LOG10(N42)</f>
        <v>-89.220935723628841</v>
      </c>
      <c r="O44" s="15">
        <f t="shared" si="28"/>
        <v>-89.220935723628841</v>
      </c>
      <c r="P44" s="15">
        <f t="shared" si="28"/>
        <v>-92.364875295848478</v>
      </c>
      <c r="Q44" s="8">
        <f t="shared" si="28"/>
        <v>-89.220935723628841</v>
      </c>
      <c r="R44" s="8">
        <f t="shared" si="28"/>
        <v>-89.220935723628841</v>
      </c>
      <c r="S44" s="8">
        <f t="shared" si="28"/>
        <v>-92.364875295848478</v>
      </c>
      <c r="T44" s="108">
        <f t="shared" si="28"/>
        <v>-91.651673013888242</v>
      </c>
      <c r="U44" s="108">
        <f t="shared" si="28"/>
        <v>-91.651673013888242</v>
      </c>
      <c r="V44" s="8">
        <f>V40+10*LOG10(V42)</f>
        <v>-89.220935723628841</v>
      </c>
      <c r="W44" s="8">
        <f>W40+10*LOG10(W42)</f>
        <v>-92.364875295848478</v>
      </c>
      <c r="X44" s="108">
        <f t="shared" ref="X44:Y44" si="29">X40+10*LOG10(X42)</f>
        <v>-89.220935723628841</v>
      </c>
      <c r="Y44" s="108">
        <f t="shared" si="29"/>
        <v>-89.220935723628841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108" t="s">
        <v>16</v>
      </c>
      <c r="U45" s="108" t="s">
        <v>16</v>
      </c>
      <c r="V45" s="8" t="s">
        <v>16</v>
      </c>
      <c r="W45" s="8" t="s">
        <v>16</v>
      </c>
      <c r="X45" s="108" t="s">
        <v>16</v>
      </c>
      <c r="Y45" s="108" t="s">
        <v>16</v>
      </c>
    </row>
    <row r="46" spans="1:2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111">
        <v>2.37</v>
      </c>
      <c r="U46" s="111">
        <v>2.37</v>
      </c>
      <c r="V46" s="88">
        <v>4.4733999999999998</v>
      </c>
      <c r="W46" s="88">
        <v>7.5627000000000004</v>
      </c>
      <c r="X46" s="111">
        <v>-3.06</v>
      </c>
      <c r="Y46" s="111">
        <v>-3.06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08">
        <v>2</v>
      </c>
      <c r="U47" s="108">
        <v>2</v>
      </c>
      <c r="V47" s="8">
        <v>2</v>
      </c>
      <c r="W47" s="8">
        <v>2</v>
      </c>
      <c r="X47" s="108">
        <v>2</v>
      </c>
      <c r="Y47" s="108">
        <v>2</v>
      </c>
    </row>
    <row r="48" spans="1:2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108" t="s">
        <v>16</v>
      </c>
      <c r="U48" s="108" t="s">
        <v>16</v>
      </c>
      <c r="V48" s="8" t="s">
        <v>16</v>
      </c>
      <c r="W48" s="8" t="s">
        <v>16</v>
      </c>
      <c r="X48" s="108" t="s">
        <v>16</v>
      </c>
      <c r="Y48" s="10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108">
        <v>0</v>
      </c>
      <c r="U49" s="108">
        <v>0</v>
      </c>
      <c r="V49" s="8">
        <v>0</v>
      </c>
      <c r="W49" s="8">
        <v>0</v>
      </c>
      <c r="X49" s="108">
        <v>0</v>
      </c>
      <c r="Y49" s="108">
        <v>0</v>
      </c>
    </row>
    <row r="50" spans="1:25" ht="28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8">
      <c r="A51" s="7" t="s">
        <v>82</v>
      </c>
      <c r="B51" s="15">
        <f t="shared" ref="B51:F51" si="30">B44+B46+B47-B49</f>
        <v>-88.245162531850909</v>
      </c>
      <c r="C51" s="15">
        <f t="shared" si="30"/>
        <v>-88.245162531850909</v>
      </c>
      <c r="D51" s="15">
        <f t="shared" si="30"/>
        <v>-88.145162531850914</v>
      </c>
      <c r="E51" s="15">
        <f t="shared" si="30"/>
        <v>-83.735162531850918</v>
      </c>
      <c r="F51" s="15">
        <f t="shared" si="30"/>
        <v>-83.735162531850918</v>
      </c>
      <c r="G51" s="73">
        <f t="shared" ref="G51:M51" si="31">G44+G46+G47-G49</f>
        <v>-85.780935723628843</v>
      </c>
      <c r="H51" s="73">
        <f t="shared" si="31"/>
        <v>-85.780935723628843</v>
      </c>
      <c r="I51" s="73">
        <f t="shared" si="31"/>
        <v>-88.741235680268659</v>
      </c>
      <c r="J51" s="15">
        <f t="shared" si="31"/>
        <v>-86.302424784807997</v>
      </c>
      <c r="K51" s="15">
        <f t="shared" si="31"/>
        <v>-86.302424784807997</v>
      </c>
      <c r="L51" s="8">
        <f t="shared" si="31"/>
        <v>-88.84167301388824</v>
      </c>
      <c r="M51" s="8">
        <f t="shared" si="31"/>
        <v>-88.84167301388824</v>
      </c>
      <c r="N51" s="15">
        <f t="shared" ref="N51:U51" si="32">N44+N46+N47-N49</f>
        <v>-91.240935723628837</v>
      </c>
      <c r="O51" s="15">
        <f t="shared" si="32"/>
        <v>-87.220935723628841</v>
      </c>
      <c r="P51" s="15">
        <f t="shared" si="32"/>
        <v>-89.834875295848477</v>
      </c>
      <c r="Q51" s="8">
        <f t="shared" si="32"/>
        <v>-96.620935723628847</v>
      </c>
      <c r="R51" s="8">
        <f t="shared" si="32"/>
        <v>-96.620935723628847</v>
      </c>
      <c r="S51" s="8">
        <f t="shared" si="32"/>
        <v>-96.564875295848481</v>
      </c>
      <c r="T51" s="108">
        <f t="shared" si="32"/>
        <v>-87.281673013888238</v>
      </c>
      <c r="U51" s="108">
        <f t="shared" si="32"/>
        <v>-87.281673013888238</v>
      </c>
      <c r="V51" s="8">
        <f>V44+V46+V47-V49</f>
        <v>-82.747535723628843</v>
      </c>
      <c r="W51" s="8">
        <f>W44+W46+W47-W49</f>
        <v>-82.802175295848471</v>
      </c>
      <c r="X51" s="108">
        <f t="shared" ref="X51:Y51" si="33">X44+X46+X47-X49</f>
        <v>-90.280935723628843</v>
      </c>
      <c r="Y51" s="108">
        <f t="shared" si="33"/>
        <v>-90.280935723628843</v>
      </c>
    </row>
    <row r="52" spans="1:25" ht="28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15" t="s">
        <v>16</v>
      </c>
      <c r="U52" s="115" t="s">
        <v>16</v>
      </c>
      <c r="V52" s="100" t="s">
        <v>16</v>
      </c>
      <c r="W52" s="100" t="s">
        <v>16</v>
      </c>
      <c r="X52" s="115" t="s">
        <v>16</v>
      </c>
      <c r="Y52" s="115" t="s">
        <v>16</v>
      </c>
    </row>
    <row r="53" spans="1:25" ht="28">
      <c r="A53" s="26" t="s">
        <v>85</v>
      </c>
      <c r="B53" s="39">
        <f t="shared" ref="B53:I53" si="34">B26+B30+B33-B34-B51</f>
        <v>133.32756218496939</v>
      </c>
      <c r="C53" s="39">
        <f t="shared" si="34"/>
        <v>133.32756218496939</v>
      </c>
      <c r="D53" s="39">
        <f t="shared" si="34"/>
        <v>133.22756218496943</v>
      </c>
      <c r="E53" s="39">
        <f t="shared" si="34"/>
        <v>134.34756218496943</v>
      </c>
      <c r="F53" s="39">
        <f t="shared" si="34"/>
        <v>134.34756218496943</v>
      </c>
      <c r="G53" s="76">
        <f t="shared" si="34"/>
        <v>141.86333537674733</v>
      </c>
      <c r="H53" s="76">
        <f t="shared" si="34"/>
        <v>141.86333537674733</v>
      </c>
      <c r="I53" s="76">
        <f t="shared" si="34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Y53" si="35">L26+L30+L33-L34-L51</f>
        <v>144.92407266700673</v>
      </c>
      <c r="M53" s="39">
        <f t="shared" si="35"/>
        <v>144.92407266700673</v>
      </c>
      <c r="N53" s="39">
        <f t="shared" si="35"/>
        <v>147.32333537674734</v>
      </c>
      <c r="O53" s="39">
        <f t="shared" si="35"/>
        <v>143.30333537674733</v>
      </c>
      <c r="P53" s="39">
        <f t="shared" si="35"/>
        <v>145.91727494896696</v>
      </c>
      <c r="Q53" s="39">
        <f t="shared" si="35"/>
        <v>138.70333537674736</v>
      </c>
      <c r="R53" s="39">
        <f t="shared" si="35"/>
        <v>138.70333537674736</v>
      </c>
      <c r="S53" s="39">
        <f t="shared" si="35"/>
        <v>143.64727494896698</v>
      </c>
      <c r="T53" s="112">
        <f t="shared" si="35"/>
        <v>143.36407266700672</v>
      </c>
      <c r="U53" s="112">
        <f t="shared" si="35"/>
        <v>143.36407266700672</v>
      </c>
      <c r="V53" s="39">
        <f t="shared" si="35"/>
        <v>138.82993537674736</v>
      </c>
      <c r="W53" s="39">
        <f t="shared" si="35"/>
        <v>138.88457494896699</v>
      </c>
      <c r="X53" s="112">
        <f t="shared" si="35"/>
        <v>137.39333537674733</v>
      </c>
      <c r="Y53" s="112">
        <f t="shared" si="35"/>
        <v>137.39333537674733</v>
      </c>
    </row>
    <row r="54" spans="1:2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09"/>
      <c r="U54" s="109"/>
      <c r="V54" s="14"/>
      <c r="W54" s="14"/>
      <c r="X54" s="109"/>
      <c r="Y54" s="109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107">
        <v>8.0299999999999994</v>
      </c>
      <c r="U55" s="107">
        <v>8.0299999999999994</v>
      </c>
      <c r="V55" s="86">
        <v>0</v>
      </c>
      <c r="W55" s="86">
        <v>0</v>
      </c>
      <c r="X55" s="107">
        <v>0</v>
      </c>
      <c r="Y55" s="107">
        <v>0</v>
      </c>
    </row>
    <row r="56" spans="1:25" ht="28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8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107">
        <v>0</v>
      </c>
      <c r="U57" s="107">
        <v>0</v>
      </c>
      <c r="V57" s="86">
        <v>0</v>
      </c>
      <c r="W57" s="86">
        <v>0</v>
      </c>
      <c r="X57" s="107">
        <v>0</v>
      </c>
      <c r="Y57" s="107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07">
        <v>0</v>
      </c>
      <c r="U58" s="107">
        <v>0</v>
      </c>
      <c r="V58" s="86">
        <v>0</v>
      </c>
      <c r="W58" s="86">
        <v>0</v>
      </c>
      <c r="X58" s="107">
        <v>0</v>
      </c>
      <c r="Y58" s="107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107">
        <v>0</v>
      </c>
      <c r="U59" s="107">
        <v>0</v>
      </c>
      <c r="V59" s="86">
        <v>0</v>
      </c>
      <c r="W59" s="86">
        <v>0</v>
      </c>
      <c r="X59" s="107">
        <v>0</v>
      </c>
      <c r="Y59" s="107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07">
        <v>0</v>
      </c>
      <c r="U60" s="107">
        <v>0</v>
      </c>
      <c r="V60" s="86">
        <v>0</v>
      </c>
      <c r="W60" s="86">
        <v>0</v>
      </c>
      <c r="X60" s="107">
        <v>0</v>
      </c>
      <c r="Y60" s="107">
        <v>0</v>
      </c>
    </row>
    <row r="61" spans="1:25" ht="28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15" t="s">
        <v>16</v>
      </c>
      <c r="U61" s="115" t="s">
        <v>16</v>
      </c>
      <c r="V61" s="100" t="s">
        <v>16</v>
      </c>
      <c r="W61" s="100" t="s">
        <v>16</v>
      </c>
      <c r="X61" s="115" t="s">
        <v>16</v>
      </c>
      <c r="Y61" s="115" t="s">
        <v>16</v>
      </c>
    </row>
    <row r="62" spans="1:25" ht="28">
      <c r="A62" s="26" t="s">
        <v>111</v>
      </c>
      <c r="B62" s="39">
        <f t="shared" ref="B62:I62" si="36">B53-B57+B58-B59+B60</f>
        <v>133.32756218496939</v>
      </c>
      <c r="C62" s="39">
        <f t="shared" si="36"/>
        <v>133.32756218496939</v>
      </c>
      <c r="D62" s="39">
        <f t="shared" si="36"/>
        <v>133.22756218496943</v>
      </c>
      <c r="E62" s="39">
        <f t="shared" si="36"/>
        <v>134.34756218496943</v>
      </c>
      <c r="F62" s="39">
        <f t="shared" si="36"/>
        <v>134.34756218496943</v>
      </c>
      <c r="G62" s="76">
        <f t="shared" si="36"/>
        <v>141.86333537674733</v>
      </c>
      <c r="H62" s="76">
        <f t="shared" si="36"/>
        <v>141.86333537674733</v>
      </c>
      <c r="I62" s="76">
        <f t="shared" si="36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Y62" si="37">L53-L57+L58-L59+L60</f>
        <v>139.74407266700672</v>
      </c>
      <c r="M62" s="39">
        <f t="shared" si="37"/>
        <v>139.74407266700672</v>
      </c>
      <c r="N62" s="39">
        <f t="shared" si="37"/>
        <v>147.32333537674734</v>
      </c>
      <c r="O62" s="39">
        <f t="shared" si="37"/>
        <v>143.30333537674733</v>
      </c>
      <c r="P62" s="39">
        <f t="shared" si="37"/>
        <v>145.91727494896696</v>
      </c>
      <c r="Q62" s="39">
        <f t="shared" si="37"/>
        <v>138.70333537674736</v>
      </c>
      <c r="R62" s="39">
        <f t="shared" si="37"/>
        <v>138.70333537674736</v>
      </c>
      <c r="S62" s="39">
        <f t="shared" si="37"/>
        <v>143.64727494896698</v>
      </c>
      <c r="T62" s="112">
        <f t="shared" si="37"/>
        <v>143.36407266700672</v>
      </c>
      <c r="U62" s="112">
        <f t="shared" si="37"/>
        <v>143.36407266700672</v>
      </c>
      <c r="V62" s="39">
        <f t="shared" si="37"/>
        <v>138.82993537674736</v>
      </c>
      <c r="W62" s="39">
        <f t="shared" si="37"/>
        <v>138.88457494896699</v>
      </c>
      <c r="X62" s="112">
        <f t="shared" si="37"/>
        <v>137.39333537674733</v>
      </c>
      <c r="Y62" s="112">
        <f t="shared" si="37"/>
        <v>137.39333537674733</v>
      </c>
    </row>
    <row r="63" spans="1:2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15" t="s">
        <v>16</v>
      </c>
      <c r="U64" s="115" t="s">
        <v>16</v>
      </c>
      <c r="V64" s="100" t="s">
        <v>16</v>
      </c>
      <c r="W64" s="100" t="s">
        <v>16</v>
      </c>
      <c r="X64" s="115" t="s">
        <v>16</v>
      </c>
      <c r="Y64" s="115" t="s">
        <v>16</v>
      </c>
    </row>
    <row r="65" spans="1:25">
      <c r="A65" s="26" t="s">
        <v>98</v>
      </c>
      <c r="B65" s="39">
        <f t="shared" ref="B65:I65" si="38">B17-B23-B51+B21+B33</f>
        <v>100.24516253185091</v>
      </c>
      <c r="C65" s="39">
        <f t="shared" si="38"/>
        <v>100.24516253185091</v>
      </c>
      <c r="D65" s="39">
        <f t="shared" si="38"/>
        <v>100.14516253185091</v>
      </c>
      <c r="E65" s="39">
        <f t="shared" si="38"/>
        <v>106.73516253185092</v>
      </c>
      <c r="F65" s="39">
        <f t="shared" si="38"/>
        <v>106.73516253185092</v>
      </c>
      <c r="G65" s="76">
        <f t="shared" si="38"/>
        <v>108.78093572362884</v>
      </c>
      <c r="H65" s="76">
        <f t="shared" si="38"/>
        <v>108.78093572362884</v>
      </c>
      <c r="I65" s="76">
        <f t="shared" si="38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Y65" si="39">L17-L23-L51+L21+L33</f>
        <v>111.84167301388824</v>
      </c>
      <c r="M65" s="39">
        <f t="shared" si="39"/>
        <v>111.84167301388824</v>
      </c>
      <c r="N65" s="39">
        <f t="shared" si="39"/>
        <v>114.24093572362884</v>
      </c>
      <c r="O65" s="39">
        <f t="shared" si="39"/>
        <v>110.22093572362884</v>
      </c>
      <c r="P65" s="39">
        <f t="shared" si="39"/>
        <v>112.83487529584848</v>
      </c>
      <c r="Q65" s="39">
        <f t="shared" si="39"/>
        <v>119.62093572362885</v>
      </c>
      <c r="R65" s="39">
        <f t="shared" si="39"/>
        <v>119.62093572362885</v>
      </c>
      <c r="S65" s="39">
        <f t="shared" si="39"/>
        <v>119.56487529584848</v>
      </c>
      <c r="T65" s="112">
        <f t="shared" si="39"/>
        <v>110.28167301388824</v>
      </c>
      <c r="U65" s="112">
        <f t="shared" si="39"/>
        <v>110.28167301388824</v>
      </c>
      <c r="V65" s="39">
        <f t="shared" si="39"/>
        <v>105.74753572362884</v>
      </c>
      <c r="W65" s="39">
        <f t="shared" si="39"/>
        <v>105.80217529584847</v>
      </c>
      <c r="X65" s="112">
        <f t="shared" si="39"/>
        <v>113.28093572362884</v>
      </c>
      <c r="Y65" s="112">
        <f t="shared" si="39"/>
        <v>113.28093572362884</v>
      </c>
    </row>
  </sheetData>
  <mergeCells count="10">
    <mergeCell ref="X1:Y1"/>
    <mergeCell ref="V1:W1"/>
    <mergeCell ref="T1:U1"/>
    <mergeCell ref="Q1:S1"/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5"/>
  <sheetViews>
    <sheetView workbookViewId="0">
      <pane xSplit="1" ySplit="1" topLeftCell="V55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5" width="15.6640625" style="1" customWidth="1"/>
    <col min="6" max="6" width="15.6640625" style="2" customWidth="1"/>
    <col min="7" max="7" width="15.6640625" style="1" customWidth="1"/>
    <col min="8" max="8" width="15.6640625" style="80" customWidth="1"/>
    <col min="9" max="11" width="15.6640625" style="1" customWidth="1"/>
    <col min="12" max="13" width="14.7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9" width="15.6640625" style="1" customWidth="1"/>
    <col min="20" max="20" width="15.6640625" style="2" customWidth="1"/>
    <col min="21" max="23" width="15.6640625" style="1" customWidth="1"/>
    <col min="24" max="24" width="17.83203125" style="1" customWidth="1"/>
    <col min="25" max="25" width="14.75" style="1" customWidth="1"/>
    <col min="26" max="26" width="15.6640625" style="2" customWidth="1"/>
    <col min="27" max="27" width="15.6640625" style="1" customWidth="1"/>
    <col min="28" max="28" width="15.6640625" style="101" customWidth="1"/>
    <col min="29" max="29" width="15.6640625" style="106" customWidth="1"/>
    <col min="30" max="16384" width="9" style="1"/>
  </cols>
  <sheetData>
    <row r="1" spans="1:29" ht="14.25" customHeight="1">
      <c r="A1" s="3"/>
      <c r="B1" s="124" t="s">
        <v>101</v>
      </c>
      <c r="C1" s="124"/>
      <c r="D1" s="124"/>
      <c r="E1" s="124"/>
      <c r="F1" s="121" t="s">
        <v>102</v>
      </c>
      <c r="G1" s="123"/>
      <c r="H1" s="132" t="s">
        <v>119</v>
      </c>
      <c r="I1" s="132"/>
      <c r="J1" s="132"/>
      <c r="K1" s="132"/>
      <c r="L1" s="124" t="s">
        <v>125</v>
      </c>
      <c r="M1" s="124"/>
      <c r="N1" s="124" t="s">
        <v>126</v>
      </c>
      <c r="O1" s="124"/>
      <c r="P1" s="124" t="s">
        <v>127</v>
      </c>
      <c r="Q1" s="124"/>
      <c r="R1" s="124"/>
      <c r="S1" s="124"/>
      <c r="T1" s="124" t="s">
        <v>128</v>
      </c>
      <c r="U1" s="124"/>
      <c r="V1" s="124"/>
      <c r="W1" s="124"/>
      <c r="X1" s="128" t="s">
        <v>129</v>
      </c>
      <c r="Y1" s="129"/>
      <c r="Z1" s="124" t="s">
        <v>130</v>
      </c>
      <c r="AA1" s="124"/>
      <c r="AB1" s="133" t="s">
        <v>135</v>
      </c>
      <c r="AC1" s="133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3" t="s">
        <v>103</v>
      </c>
      <c r="AC2" s="114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108">
        <v>28</v>
      </c>
      <c r="Y3" s="108">
        <v>28</v>
      </c>
      <c r="Z3" s="8">
        <v>28</v>
      </c>
      <c r="AA3" s="8">
        <v>28</v>
      </c>
      <c r="AB3" s="108">
        <v>28</v>
      </c>
      <c r="AC3" s="108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108">
        <v>100</v>
      </c>
      <c r="Y4" s="108">
        <v>100</v>
      </c>
      <c r="Z4" s="8">
        <v>100</v>
      </c>
      <c r="AA4" s="8">
        <v>100</v>
      </c>
      <c r="AB4" s="108">
        <v>100</v>
      </c>
      <c r="AC4" s="108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110">
        <v>0.01</v>
      </c>
      <c r="Y7" s="110">
        <v>0.01</v>
      </c>
      <c r="Z7" s="43">
        <v>0.01</v>
      </c>
      <c r="AA7" s="43">
        <v>0.01</v>
      </c>
      <c r="AB7" s="110">
        <v>0.01</v>
      </c>
      <c r="AC7" s="110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107" t="s">
        <v>22</v>
      </c>
      <c r="Y9" s="107" t="s">
        <v>22</v>
      </c>
      <c r="Z9" s="86" t="s">
        <v>22</v>
      </c>
      <c r="AA9" s="86" t="s">
        <v>22</v>
      </c>
      <c r="AB9" s="107" t="s">
        <v>22</v>
      </c>
      <c r="AC9" s="107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108">
        <v>3</v>
      </c>
      <c r="Y10" s="108">
        <v>3</v>
      </c>
      <c r="Z10" s="8">
        <v>3</v>
      </c>
      <c r="AA10" s="8">
        <v>3</v>
      </c>
      <c r="AB10" s="108">
        <v>3</v>
      </c>
      <c r="AC10" s="108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09"/>
      <c r="Y11" s="109"/>
      <c r="Z11" s="14"/>
      <c r="AA11" s="14"/>
      <c r="AB11" s="109"/>
      <c r="AC11" s="109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108">
        <v>128</v>
      </c>
      <c r="Y12" s="108">
        <v>128</v>
      </c>
      <c r="Z12" s="8">
        <v>128</v>
      </c>
      <c r="AA12" s="8">
        <v>128</v>
      </c>
      <c r="AB12" s="108">
        <v>128</v>
      </c>
      <c r="AC12" s="108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108">
        <v>2</v>
      </c>
      <c r="Y13" s="108">
        <v>2</v>
      </c>
      <c r="Z13" s="8">
        <v>2</v>
      </c>
      <c r="AA13" s="8">
        <v>2</v>
      </c>
      <c r="AB13" s="108">
        <v>2</v>
      </c>
      <c r="AC13" s="108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108">
        <v>2</v>
      </c>
      <c r="Y14" s="108">
        <v>2</v>
      </c>
      <c r="Z14" s="8">
        <v>2</v>
      </c>
      <c r="AA14" s="8">
        <v>2</v>
      </c>
      <c r="AB14" s="108">
        <v>2</v>
      </c>
      <c r="AC14" s="108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108">
        <v>3</v>
      </c>
      <c r="Y15" s="108">
        <v>3</v>
      </c>
      <c r="Z15" s="8">
        <v>3</v>
      </c>
      <c r="AA15" s="8">
        <v>3</v>
      </c>
      <c r="AB15" s="108">
        <v>3</v>
      </c>
      <c r="AC15" s="108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108">
        <f t="shared" ref="X16:Y16" si="3">X15+10*LOG10(X4)</f>
        <v>23</v>
      </c>
      <c r="Y16" s="108">
        <f t="shared" si="3"/>
        <v>23</v>
      </c>
      <c r="Z16" s="8">
        <f>Z15+10*LOG10(Z4)</f>
        <v>23</v>
      </c>
      <c r="AA16" s="8">
        <f>AA15+10*LOG10(AA4)</f>
        <v>23</v>
      </c>
      <c r="AB16" s="108">
        <f t="shared" ref="AB16:AC16" si="4">AB15+10*LOG10(AB4)</f>
        <v>23</v>
      </c>
      <c r="AC16" s="108">
        <f t="shared" si="4"/>
        <v>23</v>
      </c>
    </row>
    <row r="17" spans="1:29" ht="28">
      <c r="A17" s="7" t="s">
        <v>35</v>
      </c>
      <c r="B17" s="15">
        <f t="shared" ref="B17:G17" si="5">B15+10*LOG10(B41/1000000)</f>
        <v>21.396037294708371</v>
      </c>
      <c r="C17" s="15">
        <f t="shared" si="5"/>
        <v>21.396037294708371</v>
      </c>
      <c r="D17" s="15">
        <f t="shared" si="5"/>
        <v>18.385737338068559</v>
      </c>
      <c r="E17" s="15">
        <f t="shared" si="5"/>
        <v>18.385737338068559</v>
      </c>
      <c r="F17" s="15">
        <f t="shared" si="5"/>
        <v>21.396037294708371</v>
      </c>
      <c r="G17" s="15">
        <f t="shared" si="5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6">L15+10*LOG10(L41/1000000)</f>
        <v>21.396037294708371</v>
      </c>
      <c r="M17" s="15">
        <f t="shared" si="6"/>
        <v>21.396037294708371</v>
      </c>
      <c r="N17" s="8">
        <f t="shared" ref="N17:S17" si="7">N15+10*LOG10(N41/1000000)</f>
        <v>21.396037294708371</v>
      </c>
      <c r="O17" s="8">
        <f t="shared" si="7"/>
        <v>21.396037294708371</v>
      </c>
      <c r="P17" s="15">
        <f t="shared" si="7"/>
        <v>21.396037294708371</v>
      </c>
      <c r="Q17" s="15">
        <f t="shared" si="7"/>
        <v>21.396037294708371</v>
      </c>
      <c r="R17" s="15">
        <f t="shared" si="7"/>
        <v>18.385737338068559</v>
      </c>
      <c r="S17" s="15">
        <f t="shared" si="7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108">
        <f t="shared" ref="X17:Y17" si="8">X15+10*LOG10(X41/1000000)</f>
        <v>21.396037294708371</v>
      </c>
      <c r="Y17" s="108">
        <f t="shared" si="8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8">
        <f t="shared" ref="AB17:AC17" si="9">AB15+10*LOG10(AB41/1000000)</f>
        <v>21.396037294708371</v>
      </c>
      <c r="AC17" s="108">
        <f t="shared" si="9"/>
        <v>21.396037294708371</v>
      </c>
    </row>
    <row r="18" spans="1:29" ht="42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19.891799739838874</v>
      </c>
      <c r="G18" s="15">
        <f t="shared" si="10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1">L19+10*LOG10(L12/L13)-L20</f>
        <v>22.581799739838871</v>
      </c>
      <c r="M18" s="15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108">
        <f t="shared" ref="X18:Y18" si="13">X19+10*LOG10(X12/X13)-X20</f>
        <v>26.061799739838872</v>
      </c>
      <c r="Y18" s="108">
        <f t="shared" si="13"/>
        <v>26.061799739838872</v>
      </c>
      <c r="Z18" s="8">
        <f>Z19+10*LOG10(Z12/Z13)-Z20</f>
        <v>20.061799739838872</v>
      </c>
      <c r="AA18" s="8">
        <f>AA19+10*LOG10(AA12/AA13)-AA20</f>
        <v>20.061799739838872</v>
      </c>
      <c r="AB18" s="108">
        <f t="shared" ref="AB18:AC18" si="14">AB19+10*LOG10(AB12/AB13)-AB20</f>
        <v>16.261799739838871</v>
      </c>
      <c r="AC18" s="108">
        <f t="shared" si="14"/>
        <v>16.261799739838871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108">
        <v>8</v>
      </c>
      <c r="Y19" s="108">
        <v>8</v>
      </c>
      <c r="Z19" s="8">
        <v>8</v>
      </c>
      <c r="AA19" s="8">
        <v>8</v>
      </c>
      <c r="AB19" s="108">
        <v>8</v>
      </c>
      <c r="AC19" s="108">
        <v>8</v>
      </c>
    </row>
    <row r="20" spans="1:29" ht="42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107">
        <v>0</v>
      </c>
      <c r="Y20" s="107">
        <v>0</v>
      </c>
      <c r="Z20" s="86">
        <v>6</v>
      </c>
      <c r="AA20" s="86">
        <v>6</v>
      </c>
      <c r="AB20" s="107">
        <v>9.8000000000000007</v>
      </c>
      <c r="AC20" s="107">
        <v>9.8000000000000007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107">
        <v>0</v>
      </c>
      <c r="Y21" s="107">
        <v>0</v>
      </c>
      <c r="Z21" s="86">
        <v>0</v>
      </c>
      <c r="AA21" s="86">
        <v>0</v>
      </c>
      <c r="AB21" s="107">
        <v>0</v>
      </c>
      <c r="AC21" s="107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108">
        <v>0</v>
      </c>
      <c r="Y22" s="108">
        <v>0</v>
      </c>
      <c r="Z22" s="8">
        <v>0</v>
      </c>
      <c r="AA22" s="8">
        <v>0</v>
      </c>
      <c r="AB22" s="108">
        <v>0</v>
      </c>
      <c r="AC22" s="108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108">
        <v>0</v>
      </c>
      <c r="Y23" s="108">
        <v>0</v>
      </c>
      <c r="Z23" s="8">
        <v>0</v>
      </c>
      <c r="AA23" s="8">
        <v>0</v>
      </c>
      <c r="AB23" s="108">
        <v>0</v>
      </c>
      <c r="AC23" s="108">
        <v>0</v>
      </c>
    </row>
    <row r="24" spans="1:29" ht="28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108">
        <v>3</v>
      </c>
      <c r="Y24" s="108">
        <v>3</v>
      </c>
      <c r="Z24" s="8">
        <v>3</v>
      </c>
      <c r="AA24" s="8">
        <v>3</v>
      </c>
      <c r="AB24" s="108">
        <v>3</v>
      </c>
      <c r="AC24" s="108">
        <v>3</v>
      </c>
    </row>
    <row r="25" spans="1:29">
      <c r="A25" s="7" t="s">
        <v>49</v>
      </c>
      <c r="B25" s="15">
        <f t="shared" ref="B25:G25" si="15">B17+B18+B21+B22-B24</f>
        <v>44.457837034547239</v>
      </c>
      <c r="C25" s="15">
        <f t="shared" si="15"/>
        <v>44.457837034547239</v>
      </c>
      <c r="D25" s="15">
        <f t="shared" si="15"/>
        <v>41.447537077907427</v>
      </c>
      <c r="E25" s="15">
        <f t="shared" si="15"/>
        <v>41.447537077907427</v>
      </c>
      <c r="F25" s="15">
        <f t="shared" si="15"/>
        <v>38.287837034547245</v>
      </c>
      <c r="G25" s="15">
        <f t="shared" si="15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6">L17+L18+L21+L22-L24</f>
        <v>35.977837034547242</v>
      </c>
      <c r="M25" s="15">
        <f t="shared" si="16"/>
        <v>35.977837034547242</v>
      </c>
      <c r="N25" s="8">
        <f t="shared" ref="N25:S25" si="17">N17+N18+N21+N22-N24</f>
        <v>44.457837034547239</v>
      </c>
      <c r="O25" s="8">
        <f t="shared" si="17"/>
        <v>44.457837034547239</v>
      </c>
      <c r="P25" s="15">
        <f t="shared" si="17"/>
        <v>44.457837034547239</v>
      </c>
      <c r="Q25" s="15">
        <f t="shared" si="17"/>
        <v>44.457837034547239</v>
      </c>
      <c r="R25" s="15">
        <f t="shared" si="17"/>
        <v>41.447537077907427</v>
      </c>
      <c r="S25" s="15">
        <f t="shared" si="17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108">
        <f t="shared" ref="X25:Y25" si="18">X17+X18+X21+X22-X24</f>
        <v>44.457837034547239</v>
      </c>
      <c r="Y25" s="108">
        <f t="shared" si="18"/>
        <v>44.457837034547239</v>
      </c>
      <c r="Z25" s="8">
        <f>Z17+Z18+Z21+Z22-Z24</f>
        <v>38.457837034547239</v>
      </c>
      <c r="AA25" s="8">
        <f>AA17+AA18+AA21+AA22-AA24</f>
        <v>38.457837034547239</v>
      </c>
      <c r="AB25" s="108">
        <f t="shared" ref="AB25:AC25" si="19">AB17+AB18+AB21+AB22-AB24</f>
        <v>34.657837034547242</v>
      </c>
      <c r="AC25" s="108">
        <f t="shared" si="19"/>
        <v>34.657837034547242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09"/>
      <c r="Y27" s="109"/>
      <c r="Z27" s="14"/>
      <c r="AA27" s="14"/>
      <c r="AB27" s="109"/>
      <c r="AC27" s="109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108">
        <v>8</v>
      </c>
      <c r="Y28" s="108">
        <v>4</v>
      </c>
      <c r="Z28" s="8">
        <v>8</v>
      </c>
      <c r="AA28" s="8">
        <v>4</v>
      </c>
      <c r="AB28" s="108">
        <v>8</v>
      </c>
      <c r="AC28" s="108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108">
        <v>2</v>
      </c>
      <c r="Y29" s="108">
        <v>1</v>
      </c>
      <c r="Z29" s="8">
        <v>2</v>
      </c>
      <c r="AA29" s="8">
        <v>1</v>
      </c>
      <c r="AB29" s="108">
        <v>2</v>
      </c>
      <c r="AC29" s="108">
        <v>1</v>
      </c>
    </row>
    <row r="30" spans="1:29" ht="42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1">L31+10*LOG10(L28/L29)-L32</f>
        <v>11.020599913279625</v>
      </c>
      <c r="M30" s="15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108">
        <f t="shared" ref="X30:Y30" si="23">X31+10*LOG10(X28/X29)-X32</f>
        <v>11.020599913279625</v>
      </c>
      <c r="Y30" s="108">
        <f t="shared" si="23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8">
        <f t="shared" ref="AB30:AC30" si="24">AB31+10*LOG10(AB28/AB29)-AB32</f>
        <v>11.020599913279625</v>
      </c>
      <c r="AC30" s="108">
        <f t="shared" si="24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108">
        <v>5</v>
      </c>
      <c r="Y31" s="108">
        <v>5</v>
      </c>
      <c r="Z31" s="8">
        <v>5</v>
      </c>
      <c r="AA31" s="8">
        <v>5</v>
      </c>
      <c r="AB31" s="108">
        <v>5</v>
      </c>
      <c r="AC31" s="108">
        <v>5</v>
      </c>
    </row>
    <row r="32" spans="1:29" ht="42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107">
        <v>0</v>
      </c>
      <c r="Y32" s="107">
        <v>0</v>
      </c>
      <c r="Z32" s="86">
        <v>0</v>
      </c>
      <c r="AA32" s="86">
        <v>0</v>
      </c>
      <c r="AB32" s="107">
        <v>0</v>
      </c>
      <c r="AC32" s="107">
        <v>0</v>
      </c>
    </row>
    <row r="33" spans="1:29" ht="28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108">
        <v>0</v>
      </c>
      <c r="Y33" s="108">
        <v>0</v>
      </c>
      <c r="Z33" s="8">
        <v>0</v>
      </c>
      <c r="AA33" s="8">
        <v>0</v>
      </c>
      <c r="AB33" s="108">
        <v>0</v>
      </c>
      <c r="AC33" s="108">
        <v>0</v>
      </c>
    </row>
    <row r="34" spans="1:29" ht="28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108">
        <v>1</v>
      </c>
      <c r="Y34" s="108">
        <v>1</v>
      </c>
      <c r="Z34" s="8">
        <v>1</v>
      </c>
      <c r="AA34" s="8">
        <v>1</v>
      </c>
      <c r="AB34" s="108">
        <v>1</v>
      </c>
      <c r="AC34" s="108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108">
        <v>7</v>
      </c>
      <c r="Y35" s="108">
        <v>7</v>
      </c>
      <c r="Z35" s="8">
        <v>7</v>
      </c>
      <c r="AA35" s="8">
        <v>7</v>
      </c>
      <c r="AB35" s="108">
        <v>7</v>
      </c>
      <c r="AC35" s="108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8">
        <v>-174</v>
      </c>
      <c r="Y36" s="108">
        <v>-174</v>
      </c>
      <c r="Z36" s="8">
        <v>-174</v>
      </c>
      <c r="AA36" s="8">
        <v>-174</v>
      </c>
      <c r="AB36" s="108">
        <v>-174</v>
      </c>
      <c r="AC36" s="108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7">
        <v>-999</v>
      </c>
      <c r="AC37" s="107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108" t="s">
        <v>16</v>
      </c>
      <c r="Y38" s="108" t="s">
        <v>16</v>
      </c>
      <c r="Z38" s="8" t="s">
        <v>16</v>
      </c>
      <c r="AA38" s="8" t="s">
        <v>16</v>
      </c>
      <c r="AB38" s="108" t="s">
        <v>16</v>
      </c>
      <c r="AC38" s="108" t="s">
        <v>16</v>
      </c>
    </row>
    <row r="39" spans="1:29" ht="28">
      <c r="A39" s="7" t="s">
        <v>108</v>
      </c>
      <c r="B39" s="15">
        <f t="shared" ref="B39:G39" si="25">10*LOG10(10^((B35+B36)/10)+10^(B37/10))</f>
        <v>-167.00000000000003</v>
      </c>
      <c r="C39" s="15">
        <f t="shared" si="25"/>
        <v>-167.00000000000003</v>
      </c>
      <c r="D39" s="15">
        <f t="shared" si="25"/>
        <v>-167.00000000000003</v>
      </c>
      <c r="E39" s="15">
        <f t="shared" si="25"/>
        <v>-167.00000000000003</v>
      </c>
      <c r="F39" s="15">
        <f t="shared" si="25"/>
        <v>-164</v>
      </c>
      <c r="G39" s="15">
        <f t="shared" si="2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6">10*LOG10(10^((L35+L36)/10)+10^(L37/10))</f>
        <v>-163.58607314841774</v>
      </c>
      <c r="M39" s="15">
        <f t="shared" si="26"/>
        <v>-163.58607314841774</v>
      </c>
      <c r="N39" s="8">
        <f t="shared" ref="N39:S39" si="27">10*LOG10(10^((N35+N36)/10)+10^(N37/10))</f>
        <v>-166.20990250347435</v>
      </c>
      <c r="O39" s="8">
        <f t="shared" si="27"/>
        <v>-166.20990250347435</v>
      </c>
      <c r="P39" s="15">
        <f t="shared" si="27"/>
        <v>-167.00000000000003</v>
      </c>
      <c r="Q39" s="15">
        <f t="shared" si="27"/>
        <v>-167.00000000000003</v>
      </c>
      <c r="R39" s="15">
        <f t="shared" si="27"/>
        <v>-167.00000000000003</v>
      </c>
      <c r="S39" s="15">
        <f t="shared" si="2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108">
        <f t="shared" ref="X39:Y39" si="28">10*LOG10(10^((X35+X36)/10)+10^(X37/10))</f>
        <v>-166.20990250347435</v>
      </c>
      <c r="Y39" s="108">
        <f t="shared" si="28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8">
        <f t="shared" ref="AB39:AC39" si="29">10*LOG10(10^((AB35+AB36)/10)+10^(AB37/10))</f>
        <v>-167.00000000000003</v>
      </c>
      <c r="AC39" s="108">
        <f t="shared" si="29"/>
        <v>-167.00000000000003</v>
      </c>
    </row>
    <row r="40" spans="1:29" ht="28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30">48*12*120*1000</f>
        <v>69120000</v>
      </c>
      <c r="C41" s="15">
        <f t="shared" si="30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1">48*12*120*1000</f>
        <v>69120000</v>
      </c>
      <c r="I41" s="73">
        <f t="shared" si="31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2">48*12*120*1000</f>
        <v>69120000</v>
      </c>
      <c r="O41" s="8">
        <f t="shared" si="32"/>
        <v>69120000</v>
      </c>
      <c r="P41" s="15">
        <f t="shared" si="32"/>
        <v>69120000</v>
      </c>
      <c r="Q41" s="15">
        <f t="shared" si="32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3">48*12*120*1000</f>
        <v>69120000</v>
      </c>
      <c r="U41" s="8">
        <f t="shared" si="33"/>
        <v>69120000</v>
      </c>
      <c r="V41" s="8">
        <f>24*12*120*1000</f>
        <v>34560000</v>
      </c>
      <c r="W41" s="8">
        <f>24*12*120*1000</f>
        <v>34560000</v>
      </c>
      <c r="X41" s="108">
        <f t="shared" ref="X41:Y41" si="34">48*12*120*1000</f>
        <v>69120000</v>
      </c>
      <c r="Y41" s="108">
        <f t="shared" si="34"/>
        <v>69120000</v>
      </c>
      <c r="Z41" s="8">
        <f t="shared" ref="X41:AC41" si="35">48*12*120*1000</f>
        <v>69120000</v>
      </c>
      <c r="AA41" s="8">
        <f t="shared" si="35"/>
        <v>69120000</v>
      </c>
      <c r="AB41" s="108">
        <f t="shared" si="35"/>
        <v>69120000</v>
      </c>
      <c r="AC41" s="108">
        <f t="shared" si="35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108" t="s">
        <v>16</v>
      </c>
      <c r="Y42" s="108" t="s">
        <v>16</v>
      </c>
      <c r="Z42" s="8" t="s">
        <v>16</v>
      </c>
      <c r="AA42" s="8" t="s">
        <v>16</v>
      </c>
      <c r="AB42" s="108" t="s">
        <v>16</v>
      </c>
      <c r="AC42" s="108" t="s">
        <v>16</v>
      </c>
    </row>
    <row r="43" spans="1:29">
      <c r="A43" s="7" t="s">
        <v>71</v>
      </c>
      <c r="B43" s="15">
        <f t="shared" ref="B43:G43" si="36">B39+10*LOG10(B41)</f>
        <v>-88.603962705291664</v>
      </c>
      <c r="C43" s="15">
        <f t="shared" si="36"/>
        <v>-88.603962705291664</v>
      </c>
      <c r="D43" s="15">
        <f t="shared" si="36"/>
        <v>-91.614262661931477</v>
      </c>
      <c r="E43" s="15">
        <f t="shared" si="36"/>
        <v>-91.614262661931477</v>
      </c>
      <c r="F43" s="15">
        <f t="shared" si="36"/>
        <v>-85.603962705291636</v>
      </c>
      <c r="G43" s="15">
        <f t="shared" si="36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7">L39+10*LOG10(L41)</f>
        <v>-85.190035853709375</v>
      </c>
      <c r="M43" s="15">
        <f t="shared" si="37"/>
        <v>-85.190035853709375</v>
      </c>
      <c r="N43" s="8">
        <f t="shared" ref="N43:S43" si="38">N39+10*LOG10(N41)</f>
        <v>-87.813865208765989</v>
      </c>
      <c r="O43" s="8">
        <f t="shared" si="38"/>
        <v>-87.813865208765989</v>
      </c>
      <c r="P43" s="15">
        <f t="shared" si="38"/>
        <v>-88.603962705291664</v>
      </c>
      <c r="Q43" s="15">
        <f t="shared" si="38"/>
        <v>-88.603962705291664</v>
      </c>
      <c r="R43" s="15">
        <f t="shared" si="38"/>
        <v>-91.614262661931477</v>
      </c>
      <c r="S43" s="15">
        <f t="shared" si="38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108">
        <f t="shared" ref="X43:Y43" si="39">X39+10*LOG10(X41)</f>
        <v>-87.813865208765989</v>
      </c>
      <c r="Y43" s="108">
        <f t="shared" si="39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8">
        <f t="shared" ref="AB43:AC43" si="40">AB39+10*LOG10(AB41)</f>
        <v>-88.603962705291664</v>
      </c>
      <c r="AC43" s="108">
        <f t="shared" si="40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1">
        <v>-7.9</v>
      </c>
      <c r="AC45" s="111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108" t="s">
        <v>16</v>
      </c>
      <c r="Y46" s="108" t="s">
        <v>16</v>
      </c>
      <c r="Z46" s="8" t="s">
        <v>16</v>
      </c>
      <c r="AA46" s="8" t="s">
        <v>16</v>
      </c>
      <c r="AB46" s="108" t="s">
        <v>16</v>
      </c>
      <c r="AC46" s="108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108">
        <v>2</v>
      </c>
      <c r="Y47" s="108">
        <v>2</v>
      </c>
      <c r="Z47" s="8">
        <v>2</v>
      </c>
      <c r="AA47" s="8">
        <v>2</v>
      </c>
      <c r="AB47" s="108">
        <v>2</v>
      </c>
      <c r="AC47" s="108">
        <v>2</v>
      </c>
    </row>
    <row r="48" spans="1:2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108">
        <v>0</v>
      </c>
      <c r="Y48" s="108">
        <v>0</v>
      </c>
      <c r="Z48" s="8">
        <v>0</v>
      </c>
      <c r="AA48" s="8">
        <v>0</v>
      </c>
      <c r="AB48" s="108">
        <v>0</v>
      </c>
      <c r="AC48" s="108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">
      <c r="A50" s="7" t="s">
        <v>80</v>
      </c>
      <c r="B50" s="15">
        <f t="shared" ref="B50:G50" si="41">B43+B45+B47-B48</f>
        <v>-92.00396270529167</v>
      </c>
      <c r="C50" s="15">
        <f t="shared" si="41"/>
        <v>-87.803962705291667</v>
      </c>
      <c r="D50" s="15">
        <f t="shared" si="41"/>
        <v>-94.514262661931483</v>
      </c>
      <c r="E50" s="15">
        <f t="shared" si="41"/>
        <v>-90.114262661931477</v>
      </c>
      <c r="F50" s="15">
        <f t="shared" si="41"/>
        <v>-91.523962705291638</v>
      </c>
      <c r="G50" s="15">
        <f t="shared" si="41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2">L43+L45+L47-L48</f>
        <v>-89.500035853709377</v>
      </c>
      <c r="M50" s="15">
        <f t="shared" si="42"/>
        <v>-85.760035853709368</v>
      </c>
      <c r="N50" s="8">
        <f t="shared" ref="N50:S50" si="43">N43+N45+N47-N48</f>
        <v>-88.063865208765989</v>
      </c>
      <c r="O50" s="8">
        <f t="shared" si="43"/>
        <v>-85.063865208765989</v>
      </c>
      <c r="P50" s="15">
        <f t="shared" si="43"/>
        <v>-94.073962705291663</v>
      </c>
      <c r="Q50" s="15">
        <f t="shared" si="43"/>
        <v>-90.393962705291671</v>
      </c>
      <c r="R50" s="15">
        <f t="shared" si="43"/>
        <v>-93.374262661931482</v>
      </c>
      <c r="S50" s="15">
        <f t="shared" si="43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108">
        <f t="shared" ref="X50:Y50" si="44">X43+X45+X47-X48</f>
        <v>-92.813865208765989</v>
      </c>
      <c r="Y50" s="108">
        <f t="shared" si="44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8">
        <f t="shared" ref="AB50:AC50" si="45">AB43+AB45+AB47-AB48</f>
        <v>-94.50396270529167</v>
      </c>
      <c r="AC50" s="108">
        <f t="shared" si="45"/>
        <v>-90.403962705291661</v>
      </c>
    </row>
    <row r="51" spans="1:29" ht="28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">
      <c r="A52" s="26" t="s">
        <v>83</v>
      </c>
      <c r="B52" s="39">
        <f t="shared" ref="B52:K52" si="46">B25+B30+B33-B34-B50</f>
        <v>146.48239965311853</v>
      </c>
      <c r="C52" s="39">
        <f t="shared" si="46"/>
        <v>142.28239965311855</v>
      </c>
      <c r="D52" s="39">
        <f t="shared" si="46"/>
        <v>145.98239965311853</v>
      </c>
      <c r="E52" s="39">
        <f t="shared" si="46"/>
        <v>141.58239965311853</v>
      </c>
      <c r="F52" s="39">
        <f t="shared" si="46"/>
        <v>139.8323996531185</v>
      </c>
      <c r="G52" s="39">
        <f t="shared" si="46"/>
        <v>136.4523996531185</v>
      </c>
      <c r="H52" s="76">
        <f t="shared" si="46"/>
        <v>145.90239965311855</v>
      </c>
      <c r="I52" s="76">
        <f>I25+I30+I33-I34-I50</f>
        <v>140.97239965311854</v>
      </c>
      <c r="J52" s="76">
        <f t="shared" si="46"/>
        <v>145.74239965311853</v>
      </c>
      <c r="K52" s="76">
        <f t="shared" si="46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47">N25+N30+N33-N34-N50</f>
        <v>142.54230215659285</v>
      </c>
      <c r="O52" s="39">
        <f>O25+O30+O33-O34-O50</f>
        <v>139.54230215659285</v>
      </c>
      <c r="P52" s="39">
        <f t="shared" ref="P52:X52" si="48">P25+P30+P33-P34-P50</f>
        <v>148.55239965311853</v>
      </c>
      <c r="Q52" s="39">
        <f>Q25+Q30+Q33-Q34-Q50</f>
        <v>144.87239965311852</v>
      </c>
      <c r="R52" s="39">
        <f t="shared" si="48"/>
        <v>144.84239965311855</v>
      </c>
      <c r="S52" s="39">
        <f t="shared" si="48"/>
        <v>140.25239965311852</v>
      </c>
      <c r="T52" s="39">
        <f t="shared" si="48"/>
        <v>132.08239965311853</v>
      </c>
      <c r="U52" s="39">
        <f>U25+U30+U33-U34-U50</f>
        <v>128.18239965311852</v>
      </c>
      <c r="V52" s="39">
        <f t="shared" si="48"/>
        <v>130.18239965311852</v>
      </c>
      <c r="W52" s="39">
        <f t="shared" si="48"/>
        <v>126.08239965311853</v>
      </c>
      <c r="X52" s="112">
        <f t="shared" si="48"/>
        <v>147.29230215659285</v>
      </c>
      <c r="Y52" s="112">
        <f>Y25+Y30+Y33-Y34-Y50</f>
        <v>143.49230215659287</v>
      </c>
      <c r="Z52" s="39">
        <f t="shared" ref="Z52" si="49">Z25+Z30+Z33-Z34-Z50</f>
        <v>143.39589965311853</v>
      </c>
      <c r="AA52" s="39">
        <f>AA25+AA30+AA33-AA34-AA50</f>
        <v>140.08239965311853</v>
      </c>
      <c r="AB52" s="112">
        <f t="shared" ref="AB52" si="50">AB25+AB30+AB33-AB34-AB50</f>
        <v>139.18239965311852</v>
      </c>
      <c r="AC52" s="112">
        <f>AC25+AC30+AC33-AC34-AC50</f>
        <v>135.08239965311853</v>
      </c>
    </row>
    <row r="53" spans="1:29" ht="28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15" t="s">
        <v>16</v>
      </c>
      <c r="Y53" s="115" t="s">
        <v>16</v>
      </c>
      <c r="Z53" s="100" t="s">
        <v>16</v>
      </c>
      <c r="AA53" s="100" t="s">
        <v>16</v>
      </c>
      <c r="AB53" s="115" t="s">
        <v>16</v>
      </c>
      <c r="AC53" s="115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09"/>
      <c r="Y54" s="109"/>
      <c r="Z54" s="14"/>
      <c r="AA54" s="14"/>
      <c r="AB54" s="109"/>
      <c r="AC54" s="109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107">
        <v>8.0299999999999994</v>
      </c>
      <c r="Y55" s="107">
        <v>8.0299999999999994</v>
      </c>
      <c r="Z55" s="86">
        <v>0</v>
      </c>
      <c r="AA55" s="86">
        <v>0</v>
      </c>
      <c r="AB55" s="107">
        <v>0</v>
      </c>
      <c r="AC55" s="107">
        <v>0</v>
      </c>
    </row>
    <row r="56" spans="1:29" ht="28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7">
        <v>0</v>
      </c>
      <c r="AC56" s="107">
        <v>0</v>
      </c>
    </row>
    <row r="57" spans="1:29" ht="28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07">
        <v>0</v>
      </c>
      <c r="Y58" s="107">
        <v>0</v>
      </c>
      <c r="Z58" s="86">
        <v>0</v>
      </c>
      <c r="AA58" s="86">
        <v>0</v>
      </c>
      <c r="AB58" s="107">
        <v>0</v>
      </c>
      <c r="AC58" s="107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107">
        <v>0</v>
      </c>
      <c r="Y59" s="107">
        <v>0</v>
      </c>
      <c r="Z59" s="86">
        <v>0</v>
      </c>
      <c r="AA59" s="86">
        <v>0</v>
      </c>
      <c r="AB59" s="107">
        <v>0</v>
      </c>
      <c r="AC59" s="107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07">
        <v>0</v>
      </c>
      <c r="Y60" s="107">
        <v>0</v>
      </c>
      <c r="Z60" s="86">
        <v>0</v>
      </c>
      <c r="AA60" s="86">
        <v>0</v>
      </c>
      <c r="AB60" s="107">
        <v>0</v>
      </c>
      <c r="AC60" s="107">
        <v>0</v>
      </c>
    </row>
    <row r="61" spans="1:29" ht="28">
      <c r="A61" s="26" t="s">
        <v>110</v>
      </c>
      <c r="B61" s="39">
        <f t="shared" ref="B61:K61" si="51">B52-B56+B58-B59+B60</f>
        <v>146.48239965311853</v>
      </c>
      <c r="C61" s="39">
        <f t="shared" si="51"/>
        <v>142.28239965311855</v>
      </c>
      <c r="D61" s="39">
        <f t="shared" si="51"/>
        <v>145.98239965311853</v>
      </c>
      <c r="E61" s="39">
        <f t="shared" si="51"/>
        <v>141.58239965311853</v>
      </c>
      <c r="F61" s="39">
        <f t="shared" si="51"/>
        <v>139.8323996531185</v>
      </c>
      <c r="G61" s="39">
        <f t="shared" si="51"/>
        <v>136.4523996531185</v>
      </c>
      <c r="H61" s="76">
        <f t="shared" si="51"/>
        <v>145.90239965311855</v>
      </c>
      <c r="I61" s="76">
        <f>I52-I56+I58-I59+I60</f>
        <v>140.97239965311854</v>
      </c>
      <c r="J61" s="76">
        <f t="shared" si="51"/>
        <v>145.74239965311853</v>
      </c>
      <c r="K61" s="76">
        <f t="shared" si="51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52">N52-N56+N58-N59+N60</f>
        <v>134.06230215659286</v>
      </c>
      <c r="O61" s="39">
        <f>O52-O56+O58-O59+O60</f>
        <v>131.06230215659286</v>
      </c>
      <c r="P61" s="39">
        <f t="shared" ref="P61:X61" si="53">P52-P56+P58-P59+P60</f>
        <v>148.55239965311853</v>
      </c>
      <c r="Q61" s="39">
        <f>Q52-Q56+Q58-Q59+Q60</f>
        <v>144.87239965311852</v>
      </c>
      <c r="R61" s="39">
        <f t="shared" si="53"/>
        <v>144.84239965311855</v>
      </c>
      <c r="S61" s="39">
        <f t="shared" si="53"/>
        <v>140.25239965311852</v>
      </c>
      <c r="T61" s="39">
        <f t="shared" si="53"/>
        <v>132.08239965311853</v>
      </c>
      <c r="U61" s="39">
        <f>U52-U56+U58-U59+U60</f>
        <v>128.18239965311852</v>
      </c>
      <c r="V61" s="39">
        <f t="shared" si="53"/>
        <v>130.18239965311852</v>
      </c>
      <c r="W61" s="39">
        <f t="shared" si="53"/>
        <v>126.08239965311853</v>
      </c>
      <c r="X61" s="112">
        <f t="shared" si="53"/>
        <v>138.81230215659286</v>
      </c>
      <c r="Y61" s="112">
        <f>Y52-Y56+Y58-Y59+Y60</f>
        <v>135.01230215659288</v>
      </c>
      <c r="Z61" s="39">
        <f t="shared" ref="Z61" si="54">Z52-Z56+Z58-Z59+Z60</f>
        <v>143.39589965311853</v>
      </c>
      <c r="AA61" s="39">
        <f>AA52-AA56+AA58-AA59+AA60</f>
        <v>140.08239965311853</v>
      </c>
      <c r="AB61" s="112">
        <f t="shared" ref="AB61" si="55">AB52-AB56+AB58-AB59+AB60</f>
        <v>139.18239965311852</v>
      </c>
      <c r="AC61" s="112">
        <f>AC52-AC56+AC58-AC59+AC60</f>
        <v>135.08239965311853</v>
      </c>
    </row>
    <row r="62" spans="1:29" ht="28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15" t="s">
        <v>16</v>
      </c>
      <c r="Y62" s="115" t="s">
        <v>16</v>
      </c>
      <c r="Z62" s="100" t="s">
        <v>16</v>
      </c>
      <c r="AA62" s="100" t="s">
        <v>16</v>
      </c>
      <c r="AB62" s="115" t="s">
        <v>16</v>
      </c>
      <c r="AC62" s="115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6">B17+B22-B50+B21+B33</f>
        <v>113.40000000000003</v>
      </c>
      <c r="C64" s="39">
        <f t="shared" si="56"/>
        <v>109.20000000000005</v>
      </c>
      <c r="D64" s="39">
        <f t="shared" si="56"/>
        <v>112.90000000000003</v>
      </c>
      <c r="E64" s="39">
        <f t="shared" si="56"/>
        <v>108.50000000000003</v>
      </c>
      <c r="F64" s="39">
        <f t="shared" si="56"/>
        <v>112.92000000000002</v>
      </c>
      <c r="G64" s="39">
        <f t="shared" si="56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7">L17+L22-L50+L21+L33</f>
        <v>105.89607314841774</v>
      </c>
      <c r="M64" s="27">
        <f t="shared" si="57"/>
        <v>102.15607314841773</v>
      </c>
      <c r="N64" s="39">
        <f t="shared" ref="N64:S64" si="58">N17+N22-N50+N21+N33</f>
        <v>109.45990250347435</v>
      </c>
      <c r="O64" s="39">
        <f t="shared" si="58"/>
        <v>106.45990250347435</v>
      </c>
      <c r="P64" s="39">
        <f t="shared" si="58"/>
        <v>115.47000000000003</v>
      </c>
      <c r="Q64" s="39">
        <f t="shared" si="58"/>
        <v>111.79000000000005</v>
      </c>
      <c r="R64" s="39">
        <f t="shared" si="58"/>
        <v>111.76000000000005</v>
      </c>
      <c r="S64" s="39">
        <f t="shared" si="58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112">
        <f t="shared" ref="X64:Y64" si="59">X17+X22-X50+X21+X33</f>
        <v>114.20990250347435</v>
      </c>
      <c r="Y64" s="112">
        <f t="shared" si="59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2">
        <f t="shared" ref="AB64:AC64" si="60">AB17+AB22-AB50+AB21+AB33</f>
        <v>115.90000000000003</v>
      </c>
      <c r="AC64" s="112">
        <f t="shared" si="60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15" t="s">
        <v>16</v>
      </c>
      <c r="Y65" s="115" t="s">
        <v>16</v>
      </c>
      <c r="Z65" s="100" t="s">
        <v>16</v>
      </c>
      <c r="AA65" s="100" t="s">
        <v>16</v>
      </c>
      <c r="AB65" s="115" t="s">
        <v>16</v>
      </c>
      <c r="AC65" s="115" t="s">
        <v>16</v>
      </c>
    </row>
  </sheetData>
  <mergeCells count="10">
    <mergeCell ref="AB1:AC1"/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caa248ac-567e-4f8a-83ad-95641c120e6c"/>
    <ds:schemaRef ds:uri="http://schemas.microsoft.com/office/infopath/2007/PartnerControls"/>
    <ds:schemaRef ds:uri="f0c1c198-6772-4070-9fed-c99b54821fd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2020-11-05T22:53:43Z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