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1CA04AD9-6687-4891-BDF6-CC6EF232AEC6}" xr6:coauthVersionLast="45" xr6:coauthVersionMax="45" xr10:uidLastSave="{00000000-0000-0000-0000-000000000000}"/>
  <bookViews>
    <workbookView xWindow="-120" yWindow="-120" windowWidth="29040" windowHeight="15840" tabRatio="774" firstSheet="1" activeTab="7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3" i="49" l="1"/>
  <c r="U50" i="49" s="1"/>
  <c r="U64" i="49" s="1"/>
  <c r="U41" i="49"/>
  <c r="T41" i="49"/>
  <c r="U39" i="49"/>
  <c r="T39" i="49"/>
  <c r="T43" i="49" s="1"/>
  <c r="T50" i="49" s="1"/>
  <c r="T64" i="49" s="1"/>
  <c r="U30" i="49"/>
  <c r="T30" i="49"/>
  <c r="U25" i="49"/>
  <c r="T25" i="49"/>
  <c r="T52" i="49" s="1"/>
  <c r="T61" i="49" s="1"/>
  <c r="U18" i="49"/>
  <c r="T18" i="49"/>
  <c r="Y44" i="50"/>
  <c r="Y51" i="50" s="1"/>
  <c r="Y65" i="50" s="1"/>
  <c r="X44" i="50"/>
  <c r="X51" i="50" s="1"/>
  <c r="X65" i="50" s="1"/>
  <c r="Y42" i="50"/>
  <c r="X42" i="50"/>
  <c r="Y40" i="50"/>
  <c r="X40" i="50"/>
  <c r="Y30" i="50"/>
  <c r="X30" i="50"/>
  <c r="Y26" i="50"/>
  <c r="X26" i="50"/>
  <c r="Y18" i="50"/>
  <c r="X18" i="50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18" i="54"/>
  <c r="W26" i="54" s="1"/>
  <c r="V18" i="54"/>
  <c r="V26" i="54" s="1"/>
  <c r="V53" i="54" s="1"/>
  <c r="V62" i="54" s="1"/>
  <c r="AJ44" i="46"/>
  <c r="AJ51" i="46" s="1"/>
  <c r="AJ65" i="46" s="1"/>
  <c r="AJ42" i="46"/>
  <c r="AI42" i="46"/>
  <c r="AI17" i="46" s="1"/>
  <c r="AH42" i="46"/>
  <c r="AJ40" i="46"/>
  <c r="AI40" i="46"/>
  <c r="AI44" i="46" s="1"/>
  <c r="AI51" i="46" s="1"/>
  <c r="AH40" i="46"/>
  <c r="AH44" i="46" s="1"/>
  <c r="AH51" i="46" s="1"/>
  <c r="AJ30" i="46"/>
  <c r="AI30" i="46"/>
  <c r="AH30" i="46"/>
  <c r="AJ26" i="46"/>
  <c r="AJ18" i="46"/>
  <c r="AI18" i="46"/>
  <c r="AH18" i="46"/>
  <c r="AJ17" i="46"/>
  <c r="AH17" i="46"/>
  <c r="AJ16" i="46"/>
  <c r="AI16" i="46"/>
  <c r="AH16" i="46"/>
  <c r="AG42" i="53"/>
  <c r="AG17" i="53" s="1"/>
  <c r="AF42" i="53"/>
  <c r="AF44" i="53" s="1"/>
  <c r="AF51" i="53" s="1"/>
  <c r="AE42" i="53"/>
  <c r="AG40" i="53"/>
  <c r="AG44" i="53" s="1"/>
  <c r="AG51" i="53" s="1"/>
  <c r="AF40" i="53"/>
  <c r="AE40" i="53"/>
  <c r="AE44" i="53" s="1"/>
  <c r="AE51" i="53" s="1"/>
  <c r="AG30" i="53"/>
  <c r="AF30" i="53"/>
  <c r="AE30" i="53"/>
  <c r="AG18" i="53"/>
  <c r="AF18" i="53"/>
  <c r="AE18" i="53"/>
  <c r="AE17" i="53"/>
  <c r="AG16" i="53"/>
  <c r="AF16" i="53"/>
  <c r="AE16" i="53"/>
  <c r="AG42" i="52"/>
  <c r="AG17" i="52" s="1"/>
  <c r="AF42" i="52"/>
  <c r="AF17" i="52" s="1"/>
  <c r="AE42" i="52"/>
  <c r="AE44" i="52" s="1"/>
  <c r="AE51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J41" i="51"/>
  <c r="AJ17" i="51" s="1"/>
  <c r="AI41" i="51"/>
  <c r="AI17" i="51" s="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6" i="51"/>
  <c r="AI16" i="51"/>
  <c r="AH16" i="51"/>
  <c r="U52" i="49" l="1"/>
  <c r="U61" i="49" s="1"/>
  <c r="X53" i="50"/>
  <c r="X62" i="50" s="1"/>
  <c r="Y53" i="50"/>
  <c r="Y62" i="50" s="1"/>
  <c r="W53" i="54"/>
  <c r="W62" i="54" s="1"/>
  <c r="AH65" i="46"/>
  <c r="AJ53" i="46"/>
  <c r="AJ62" i="46" s="1"/>
  <c r="AI65" i="46"/>
  <c r="AI26" i="46"/>
  <c r="AI53" i="46" s="1"/>
  <c r="AI62" i="46" s="1"/>
  <c r="AH26" i="46"/>
  <c r="AH53" i="46" s="1"/>
  <c r="AH62" i="46" s="1"/>
  <c r="AG65" i="53"/>
  <c r="AG26" i="53"/>
  <c r="AG53" i="53" s="1"/>
  <c r="AG62" i="53" s="1"/>
  <c r="AE65" i="53"/>
  <c r="AF17" i="53"/>
  <c r="AE26" i="53"/>
  <c r="AE53" i="53" s="1"/>
  <c r="AE62" i="53" s="1"/>
  <c r="AG65" i="52"/>
  <c r="AG26" i="52"/>
  <c r="AG53" i="52" s="1"/>
  <c r="AG62" i="52" s="1"/>
  <c r="AF65" i="52"/>
  <c r="AF26" i="52"/>
  <c r="AF53" i="52" s="1"/>
  <c r="AF62" i="52" s="1"/>
  <c r="AE17" i="52"/>
  <c r="AJ25" i="51"/>
  <c r="AJ52" i="51" s="1"/>
  <c r="AJ61" i="51" s="1"/>
  <c r="AJ64" i="51"/>
  <c r="AI25" i="51"/>
  <c r="AI52" i="51" s="1"/>
  <c r="AI61" i="51" s="1"/>
  <c r="AI64" i="51"/>
  <c r="AH64" i="51"/>
  <c r="AH25" i="51"/>
  <c r="AH52" i="51" s="1"/>
  <c r="AH61" i="51" s="1"/>
  <c r="AG41" i="51"/>
  <c r="AG17" i="51" s="1"/>
  <c r="AF41" i="51"/>
  <c r="AE41" i="51"/>
  <c r="AE17" i="51" s="1"/>
  <c r="AG39" i="51"/>
  <c r="AG43" i="51" s="1"/>
  <c r="AG50" i="51" s="1"/>
  <c r="AF39" i="51"/>
  <c r="AF43" i="51" s="1"/>
  <c r="AF50" i="51" s="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S52" i="49" s="1"/>
  <c r="S61" i="49" s="1"/>
  <c r="R18" i="49"/>
  <c r="R25" i="49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18" i="47"/>
  <c r="U25" i="47" s="1"/>
  <c r="T18" i="47"/>
  <c r="T25" i="47" s="1"/>
  <c r="AG44" i="46"/>
  <c r="AG51" i="46" s="1"/>
  <c r="AG42" i="46"/>
  <c r="AG17" i="46" s="1"/>
  <c r="AF42" i="46"/>
  <c r="AF17" i="46" s="1"/>
  <c r="AE42" i="46"/>
  <c r="AE17" i="46" s="1"/>
  <c r="AG40" i="46"/>
  <c r="AF40" i="46"/>
  <c r="AF44" i="46" s="1"/>
  <c r="AF51" i="46" s="1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F43" i="32"/>
  <c r="AF50" i="32" s="1"/>
  <c r="AE43" i="32"/>
  <c r="AE50" i="32" s="1"/>
  <c r="AE64" i="32" s="1"/>
  <c r="AG41" i="32"/>
  <c r="AG17" i="32" s="1"/>
  <c r="AF41" i="32"/>
  <c r="AE41" i="32"/>
  <c r="AG39" i="32"/>
  <c r="AG43" i="32" s="1"/>
  <c r="AG50" i="32" s="1"/>
  <c r="AF39" i="32"/>
  <c r="AE39" i="32"/>
  <c r="AG30" i="32"/>
  <c r="AF30" i="32"/>
  <c r="AE30" i="32"/>
  <c r="AG18" i="32"/>
  <c r="AF18" i="32"/>
  <c r="AE18" i="32"/>
  <c r="AF17" i="32"/>
  <c r="AE17" i="32"/>
  <c r="AE25" i="32" s="1"/>
  <c r="AE52" i="32" s="1"/>
  <c r="AE61" i="32" s="1"/>
  <c r="AG16" i="32"/>
  <c r="AF16" i="32"/>
  <c r="AE16" i="32"/>
  <c r="AF65" i="53" l="1"/>
  <c r="AF26" i="53"/>
  <c r="AF53" i="53" s="1"/>
  <c r="AF62" i="53" s="1"/>
  <c r="AE65" i="52"/>
  <c r="AE26" i="52"/>
  <c r="AE53" i="52" s="1"/>
  <c r="AE62" i="52" s="1"/>
  <c r="AG64" i="51"/>
  <c r="AG25" i="51"/>
  <c r="AG52" i="51" s="1"/>
  <c r="AG61" i="51" s="1"/>
  <c r="AF64" i="51"/>
  <c r="AE64" i="51"/>
  <c r="AE25" i="51"/>
  <c r="AE52" i="51" s="1"/>
  <c r="AE61" i="51" s="1"/>
  <c r="AF25" i="51"/>
  <c r="AF52" i="51" s="1"/>
  <c r="AF61" i="51" s="1"/>
  <c r="R52" i="49"/>
  <c r="R61" i="49" s="1"/>
  <c r="U52" i="47"/>
  <c r="U61" i="47" s="1"/>
  <c r="T52" i="47"/>
  <c r="T61" i="47" s="1"/>
  <c r="AE65" i="46"/>
  <c r="AE26" i="46"/>
  <c r="AE53" i="46" s="1"/>
  <c r="AE62" i="46" s="1"/>
  <c r="AF26" i="46"/>
  <c r="AF53" i="46" s="1"/>
  <c r="AF62" i="46" s="1"/>
  <c r="AF65" i="46"/>
  <c r="AG65" i="46"/>
  <c r="AG26" i="46"/>
  <c r="AG53" i="46" s="1"/>
  <c r="AG62" i="46" s="1"/>
  <c r="AF64" i="32"/>
  <c r="AG64" i="32"/>
  <c r="AG25" i="32"/>
  <c r="AG52" i="32" s="1"/>
  <c r="AG61" i="32" s="1"/>
  <c r="AF25" i="32"/>
  <c r="AF52" i="32" s="1"/>
  <c r="AF61" i="3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I44" i="56"/>
  <c r="I51" i="56" s="1"/>
  <c r="H44" i="56"/>
  <c r="H51" i="56" s="1"/>
  <c r="H65" i="56" s="1"/>
  <c r="J42" i="56"/>
  <c r="J44" i="56" s="1"/>
  <c r="J51" i="56" s="1"/>
  <c r="I42" i="56"/>
  <c r="H42" i="56"/>
  <c r="J40" i="56"/>
  <c r="I40" i="56"/>
  <c r="H40" i="56"/>
  <c r="J30" i="56"/>
  <c r="I30" i="56"/>
  <c r="H30" i="56"/>
  <c r="J18" i="56"/>
  <c r="I18" i="56"/>
  <c r="H18" i="56"/>
  <c r="H26" i="56" s="1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C51" i="53"/>
  <c r="AC44" i="53"/>
  <c r="AD42" i="53"/>
  <c r="AD17" i="53" s="1"/>
  <c r="AC42" i="53"/>
  <c r="AB42" i="53"/>
  <c r="AB17" i="53" s="1"/>
  <c r="AD40" i="53"/>
  <c r="AD44" i="53" s="1"/>
  <c r="AD51" i="53" s="1"/>
  <c r="AC40" i="53"/>
  <c r="AB40" i="53"/>
  <c r="AB44" i="53" s="1"/>
  <c r="AB51" i="53" s="1"/>
  <c r="AD30" i="53"/>
  <c r="AC30" i="53"/>
  <c r="AB30" i="53"/>
  <c r="AD18" i="53"/>
  <c r="AC18" i="53"/>
  <c r="AB18" i="53"/>
  <c r="AC17" i="53"/>
  <c r="AC65" i="53" s="1"/>
  <c r="AD16" i="53"/>
  <c r="AC16" i="53"/>
  <c r="AB16" i="53"/>
  <c r="AD42" i="52"/>
  <c r="AD44" i="52" s="1"/>
  <c r="AD51" i="52" s="1"/>
  <c r="AC42" i="52"/>
  <c r="AC44" i="52" s="1"/>
  <c r="AC51" i="52" s="1"/>
  <c r="AB42" i="52"/>
  <c r="AD40" i="52"/>
  <c r="AC40" i="52"/>
  <c r="AB40" i="52"/>
  <c r="AB44" i="52" s="1"/>
  <c r="AB51" i="52" s="1"/>
  <c r="AD30" i="52"/>
  <c r="AC30" i="52"/>
  <c r="AB30" i="52"/>
  <c r="AD18" i="52"/>
  <c r="AC18" i="52"/>
  <c r="AB18" i="52"/>
  <c r="AC17" i="52"/>
  <c r="AB17" i="52"/>
  <c r="AD16" i="52"/>
  <c r="AC16" i="52"/>
  <c r="AB16" i="52"/>
  <c r="AC43" i="51"/>
  <c r="AC50" i="51" s="1"/>
  <c r="AB43" i="51"/>
  <c r="AB50" i="51" s="1"/>
  <c r="AD41" i="51"/>
  <c r="AD43" i="51" s="1"/>
  <c r="AD50" i="51" s="1"/>
  <c r="AC41" i="51"/>
  <c r="AB41" i="51"/>
  <c r="AD39" i="51"/>
  <c r="AC39" i="51"/>
  <c r="AB39" i="51"/>
  <c r="AD30" i="51"/>
  <c r="AC30" i="51"/>
  <c r="AB30" i="51"/>
  <c r="AD18" i="51"/>
  <c r="AC18" i="51"/>
  <c r="AB18" i="51"/>
  <c r="AB25" i="51" s="1"/>
  <c r="AB52" i="51" s="1"/>
  <c r="AB61" i="51" s="1"/>
  <c r="AC17" i="51"/>
  <c r="AC64" i="51" s="1"/>
  <c r="AB17" i="51"/>
  <c r="AB64" i="51" s="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C44" i="46"/>
  <c r="AC51" i="46" s="1"/>
  <c r="AB44" i="46"/>
  <c r="AB51" i="46" s="1"/>
  <c r="AD42" i="46"/>
  <c r="AD17" i="46" s="1"/>
  <c r="AC42" i="46"/>
  <c r="AB42" i="46"/>
  <c r="AD40" i="46"/>
  <c r="AD44" i="46" s="1"/>
  <c r="AD51" i="46" s="1"/>
  <c r="AC40" i="46"/>
  <c r="AB40" i="46"/>
  <c r="AD30" i="46"/>
  <c r="AC30" i="46"/>
  <c r="AB30" i="46"/>
  <c r="AD18" i="46"/>
  <c r="AC18" i="46"/>
  <c r="AB18" i="46"/>
  <c r="AB26" i="46" s="1"/>
  <c r="AB53" i="46" s="1"/>
  <c r="AB62" i="46" s="1"/>
  <c r="AC17" i="46"/>
  <c r="AC65" i="46" s="1"/>
  <c r="AB17" i="46"/>
  <c r="AB65" i="46" s="1"/>
  <c r="AD16" i="46"/>
  <c r="AC16" i="46"/>
  <c r="AB16" i="46"/>
  <c r="AB43" i="32"/>
  <c r="AB50" i="32" s="1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D30" i="32"/>
  <c r="AC30" i="32"/>
  <c r="AB30" i="32"/>
  <c r="AD18" i="32"/>
  <c r="AC18" i="32"/>
  <c r="AB18" i="32"/>
  <c r="AC17" i="32"/>
  <c r="AC64" i="32" s="1"/>
  <c r="AD16" i="32"/>
  <c r="AC16" i="32"/>
  <c r="AB16" i="32"/>
  <c r="H52" i="57" l="1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B65" i="52"/>
  <c r="AC65" i="52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E44" i="56"/>
  <c r="E51" i="56" s="1"/>
  <c r="G42" i="56"/>
  <c r="G17" i="56" s="1"/>
  <c r="F42" i="56"/>
  <c r="F17" i="56" s="1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AA44" i="53" s="1"/>
  <c r="AA51" i="53" s="1"/>
  <c r="Z40" i="53"/>
  <c r="Z44" i="53" s="1"/>
  <c r="Z51" i="53" s="1"/>
  <c r="Y40" i="53"/>
  <c r="AA30" i="53"/>
  <c r="Z30" i="53"/>
  <c r="Y30" i="53"/>
  <c r="AA18" i="53"/>
  <c r="Z18" i="53"/>
  <c r="Y18" i="53"/>
  <c r="AA16" i="53"/>
  <c r="Z16" i="53"/>
  <c r="Y16" i="53"/>
  <c r="AA44" i="52"/>
  <c r="AA51" i="52" s="1"/>
  <c r="AA42" i="52"/>
  <c r="AA17" i="52" s="1"/>
  <c r="Z42" i="52"/>
  <c r="Z17" i="52" s="1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Y17" i="52"/>
  <c r="AA16" i="52"/>
  <c r="Z16" i="52"/>
  <c r="Y16" i="52"/>
  <c r="Y43" i="51"/>
  <c r="Y50" i="51" s="1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Z64" i="51" s="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Y44" i="46"/>
  <c r="Y51" i="46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Z25" i="32" s="1"/>
  <c r="Y41" i="32"/>
  <c r="Y17" i="32" s="1"/>
  <c r="AA39" i="32"/>
  <c r="AA43" i="32" s="1"/>
  <c r="AA50" i="32" s="1"/>
  <c r="Z39" i="32"/>
  <c r="Y39" i="32"/>
  <c r="Y43" i="32" s="1"/>
  <c r="Y50" i="32" s="1"/>
  <c r="AA30" i="32"/>
  <c r="Z30" i="32"/>
  <c r="Y30" i="32"/>
  <c r="AA18" i="32"/>
  <c r="Z18" i="32"/>
  <c r="Y18" i="32"/>
  <c r="AA17" i="32"/>
  <c r="AA64" i="32" s="1"/>
  <c r="AA16" i="32"/>
  <c r="Z16" i="32"/>
  <c r="Y16" i="32"/>
  <c r="M43" i="48" l="1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65" i="53"/>
  <c r="Z26" i="53"/>
  <c r="Z53" i="53" s="1"/>
  <c r="Z62" i="53" s="1"/>
  <c r="Y65" i="53"/>
  <c r="AA65" i="53"/>
  <c r="AA26" i="53"/>
  <c r="AA53" i="53" s="1"/>
  <c r="AA62" i="53" s="1"/>
  <c r="Y26" i="53"/>
  <c r="Y53" i="53" s="1"/>
  <c r="Y62" i="53" s="1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Y52" i="32" s="1"/>
  <c r="Y61" i="32" s="1"/>
  <c r="AA25" i="32"/>
  <c r="AA52" i="32" s="1"/>
  <c r="AA61" i="32" s="1"/>
  <c r="M52" i="48" l="1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V44" i="53"/>
  <c r="V51" i="53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X44" i="52"/>
  <c r="X51" i="52" s="1"/>
  <c r="X65" i="52" s="1"/>
  <c r="W44" i="52"/>
  <c r="W51" i="52" s="1"/>
  <c r="W65" i="52" s="1"/>
  <c r="X42" i="52"/>
  <c r="W42" i="52"/>
  <c r="V42" i="52"/>
  <c r="V17" i="52" s="1"/>
  <c r="V26" i="52" s="1"/>
  <c r="X40" i="52"/>
  <c r="W40" i="52"/>
  <c r="V40" i="52"/>
  <c r="V44" i="52" s="1"/>
  <c r="V51" i="52" s="1"/>
  <c r="V65" i="52" s="1"/>
  <c r="X30" i="52"/>
  <c r="W30" i="52"/>
  <c r="V30" i="52"/>
  <c r="X18" i="52"/>
  <c r="X26" i="52" s="1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W25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V43" i="32"/>
  <c r="V50" i="32" s="1"/>
  <c r="X41" i="32"/>
  <c r="X43" i="32" s="1"/>
  <c r="X50" i="32" s="1"/>
  <c r="W41" i="32"/>
  <c r="W17" i="32" s="1"/>
  <c r="W25" i="32" s="1"/>
  <c r="V41" i="32"/>
  <c r="X39" i="32"/>
  <c r="W39" i="32"/>
  <c r="W43" i="32" s="1"/>
  <c r="W50" i="32" s="1"/>
  <c r="W64" i="32" s="1"/>
  <c r="V39" i="32"/>
  <c r="X30" i="32"/>
  <c r="W30" i="32"/>
  <c r="V30" i="32"/>
  <c r="X18" i="32"/>
  <c r="W18" i="32"/>
  <c r="V18" i="32"/>
  <c r="V17" i="32"/>
  <c r="V25" i="32" s="1"/>
  <c r="X16" i="32"/>
  <c r="W16" i="32"/>
  <c r="V16" i="32"/>
  <c r="W52" i="32" l="1"/>
  <c r="W61" i="32" s="1"/>
  <c r="Q44" i="54"/>
  <c r="Q51" i="54" s="1"/>
  <c r="Q65" i="54" s="1"/>
  <c r="V44" i="46"/>
  <c r="V51" i="46" s="1"/>
  <c r="P53" i="54"/>
  <c r="P62" i="54" s="1"/>
  <c r="V64" i="32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X52" i="51" l="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S64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T17" i="32" s="1"/>
  <c r="T25" i="32" s="1"/>
  <c r="S41" i="32"/>
  <c r="U39" i="32"/>
  <c r="U43" i="32" s="1"/>
  <c r="U50" i="32" s="1"/>
  <c r="T39" i="32"/>
  <c r="T43" i="32" s="1"/>
  <c r="T50" i="32" s="1"/>
  <c r="S39" i="32"/>
  <c r="U30" i="32"/>
  <c r="T30" i="32"/>
  <c r="S30" i="32"/>
  <c r="U18" i="32"/>
  <c r="T18" i="32"/>
  <c r="S18" i="32"/>
  <c r="U17" i="32"/>
  <c r="S17" i="32"/>
  <c r="U16" i="32"/>
  <c r="T16" i="32"/>
  <c r="S16" i="32"/>
  <c r="T64" i="32" l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44" i="52" s="1"/>
  <c r="R51" i="52" s="1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R26" i="46" s="1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Q65" i="52" l="1"/>
  <c r="R43" i="32"/>
  <c r="R50" i="32" s="1"/>
  <c r="P26" i="52"/>
  <c r="P53" i="52" s="1"/>
  <c r="P62" i="52" s="1"/>
  <c r="Q44" i="53"/>
  <c r="Q51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J52" i="49"/>
  <c r="J61" i="49" s="1"/>
  <c r="Q44" i="46"/>
  <c r="Q51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Q64" i="51"/>
  <c r="R64" i="51"/>
  <c r="R25" i="51"/>
  <c r="R43" i="51"/>
  <c r="R50" i="51" s="1"/>
  <c r="Q25" i="51"/>
  <c r="Q52" i="51" s="1"/>
  <c r="Q61" i="51" s="1"/>
  <c r="K52" i="49"/>
  <c r="K61" i="49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L42" i="52"/>
  <c r="L17" i="52" s="1"/>
  <c r="K42" i="52"/>
  <c r="K17" i="52" s="1"/>
  <c r="J42" i="52"/>
  <c r="L40" i="52"/>
  <c r="K40" i="52"/>
  <c r="K44" i="52" s="1"/>
  <c r="K51" i="52" s="1"/>
  <c r="J40" i="52"/>
  <c r="J44" i="52" s="1"/>
  <c r="J51" i="52" s="1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L25" i="32" l="1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C52" i="57" l="1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F17" i="51" s="1"/>
  <c r="E41" i="51"/>
  <c r="D41" i="51"/>
  <c r="D17" i="51" s="1"/>
  <c r="C41" i="51"/>
  <c r="B41" i="51"/>
  <c r="B17" i="51" s="1"/>
  <c r="F39" i="51"/>
  <c r="F43" i="51" s="1"/>
  <c r="F50" i="51" s="1"/>
  <c r="E39" i="51"/>
  <c r="D39" i="5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C17" i="46"/>
  <c r="F16" i="46"/>
  <c r="E16" i="46"/>
  <c r="D16" i="46"/>
  <c r="C16" i="46"/>
  <c r="B16" i="46"/>
  <c r="F41" i="32"/>
  <c r="F17" i="32" s="1"/>
  <c r="E41" i="32"/>
  <c r="E17" i="32" s="1"/>
  <c r="E64" i="32" s="1"/>
  <c r="D41" i="32"/>
  <c r="D17" i="32" s="1"/>
  <c r="C41" i="32"/>
  <c r="C17" i="32" s="1"/>
  <c r="B41" i="32"/>
  <c r="F39" i="32"/>
  <c r="E39" i="32"/>
  <c r="E43" i="32" s="1"/>
  <c r="E50" i="32" s="1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3" i="50" l="1"/>
  <c r="C62" i="50" s="1"/>
  <c r="F65" i="46"/>
  <c r="G44" i="46"/>
  <c r="G51" i="46" s="1"/>
  <c r="G65" i="46" s="1"/>
  <c r="H43" i="51"/>
  <c r="H50" i="51" s="1"/>
  <c r="H26" i="52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E49" i="29"/>
  <c r="E56" i="29" s="1"/>
  <c r="E70" i="29" s="1"/>
  <c r="F43" i="32"/>
  <c r="F50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26" i="52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F26" i="53"/>
  <c r="F53" i="53" s="1"/>
  <c r="F62" i="53" s="1"/>
  <c r="E53" i="52" l="1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<sst xmlns="http://schemas.openxmlformats.org/spreadsheetml/2006/main" count="6100" uniqueCount="132">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</sst>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65" fontId="14" fillId="8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7" activePane="bottomRight" state="frozen"/>
      <selection pane="topRight"/>
      <selection pane="bottomLeft"/>
      <selection pane="bottomRight" activeCell="B8" sqref="B8:E8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65"/>
  <sheetViews>
    <sheetView workbookViewId="0">
      <pane xSplit="1" ySplit="1" topLeftCell="X47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5.75" style="3" customWidth="1"/>
    <col min="14" max="14" width="14.5" style="3" customWidth="1"/>
    <col min="15" max="15" width="18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5.625" style="2" customWidth="1"/>
    <col min="32" max="33" width="15.62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117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131</v>
      </c>
      <c r="AF1" s="202"/>
      <c r="AG1" s="202"/>
    </row>
    <row r="2" spans="1:33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</row>
    <row r="4" spans="1:33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</row>
    <row r="5" spans="1:33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</row>
    <row r="6" spans="1:33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</row>
    <row r="7" spans="1:33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</row>
    <row r="8" spans="1:33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</row>
    <row r="9" spans="1:33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</row>
    <row r="10" spans="1:33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78">
        <v>192</v>
      </c>
      <c r="AF12" s="178">
        <v>192</v>
      </c>
      <c r="AG12" s="178">
        <v>192</v>
      </c>
    </row>
    <row r="13" spans="1:33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78">
        <v>64</v>
      </c>
      <c r="AF13" s="178">
        <v>64</v>
      </c>
      <c r="AG13" s="178">
        <v>64</v>
      </c>
    </row>
    <row r="14" spans="1:33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</row>
    <row r="15" spans="1:33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204">
        <v>24</v>
      </c>
      <c r="AF15" s="204">
        <v>24</v>
      </c>
      <c r="AG15" s="204">
        <v>24</v>
      </c>
    </row>
    <row r="16" spans="1:33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78">
        <f t="shared" ref="AE16:AG16" si="3">AE15+10*LOG10(AE4)</f>
        <v>44</v>
      </c>
      <c r="AF16" s="178">
        <f t="shared" si="3"/>
        <v>44</v>
      </c>
      <c r="AG16" s="178">
        <f t="shared" si="3"/>
        <v>44</v>
      </c>
    </row>
    <row r="17" spans="1:33" ht="30">
      <c r="A17" s="8" t="s">
        <v>35</v>
      </c>
      <c r="B17" s="29">
        <f t="shared" ref="B17:L17" si="4">B15+10*LOG10(B42/1000000)</f>
        <v>34.583624920952495</v>
      </c>
      <c r="C17" s="29">
        <f t="shared" si="4"/>
        <v>34.583624920952495</v>
      </c>
      <c r="D17" s="29">
        <f t="shared" si="4"/>
        <v>34.583624920952495</v>
      </c>
      <c r="E17" s="29">
        <f t="shared" si="4"/>
        <v>24.334237554869496</v>
      </c>
      <c r="F17" s="29">
        <f t="shared" si="4"/>
        <v>24.334237554869496</v>
      </c>
      <c r="G17" s="73">
        <f t="shared" si="4"/>
        <v>24.334237554869496</v>
      </c>
      <c r="H17" s="73">
        <f t="shared" si="4"/>
        <v>24.334237554869496</v>
      </c>
      <c r="I17" s="73">
        <f t="shared" si="4"/>
        <v>24.334237554869496</v>
      </c>
      <c r="J17" s="13">
        <f t="shared" si="4"/>
        <v>34.583624920952495</v>
      </c>
      <c r="K17" s="13">
        <f t="shared" si="4"/>
        <v>34.583624920952495</v>
      </c>
      <c r="L17" s="13">
        <f t="shared" si="4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5">P15+10*LOG10(P42/1000000)</f>
        <v>39.354837468149121</v>
      </c>
      <c r="Q17" s="164">
        <f t="shared" si="5"/>
        <v>39.354837468149121</v>
      </c>
      <c r="R17" s="164">
        <f t="shared" si="5"/>
        <v>39.354837468149121</v>
      </c>
      <c r="S17" s="166">
        <f t="shared" si="5"/>
        <v>24.334237554869496</v>
      </c>
      <c r="T17" s="166">
        <f t="shared" si="5"/>
        <v>24.334237554869496</v>
      </c>
      <c r="U17" s="166">
        <f t="shared" si="5"/>
        <v>24.334237554869496</v>
      </c>
      <c r="V17" s="166">
        <f t="shared" ref="V17:AA17" si="6">V15+10*LOG10(V42/1000000)</f>
        <v>41.115750058705935</v>
      </c>
      <c r="W17" s="166">
        <f t="shared" si="6"/>
        <v>41.115750058705935</v>
      </c>
      <c r="X17" s="166">
        <f t="shared" si="6"/>
        <v>41.115750058705935</v>
      </c>
      <c r="Y17" s="166">
        <f t="shared" si="6"/>
        <v>24.334237554869496</v>
      </c>
      <c r="Z17" s="166">
        <f t="shared" si="6"/>
        <v>24.334237554869496</v>
      </c>
      <c r="AA17" s="166">
        <f t="shared" si="6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  <c r="AE17" s="178">
        <f t="shared" ref="AE17:AG17" si="7">AE15+10*LOG10(AE42/1000000)</f>
        <v>24.334237554869496</v>
      </c>
      <c r="AF17" s="178">
        <f t="shared" si="7"/>
        <v>24.334237554869496</v>
      </c>
      <c r="AG17" s="178">
        <f t="shared" si="7"/>
        <v>24.334237554869496</v>
      </c>
    </row>
    <row r="18" spans="1:33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G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</row>
    <row r="19" spans="1:33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</row>
    <row r="20" spans="1:33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</row>
    <row r="21" spans="1:33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</row>
    <row r="22" spans="1:33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</row>
    <row r="23" spans="1:33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</row>
    <row r="24" spans="1:33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</row>
    <row r="25" spans="1:33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</row>
    <row r="26" spans="1:33" ht="15">
      <c r="A26" s="8" t="s">
        <v>51</v>
      </c>
      <c r="B26" s="29">
        <f t="shared" ref="B26:L26" si="13">B17+B18+B21-B23-B24</f>
        <v>52.354837468149121</v>
      </c>
      <c r="C26" s="29">
        <f t="shared" si="13"/>
        <v>52.354837468149121</v>
      </c>
      <c r="D26" s="29">
        <f t="shared" si="13"/>
        <v>52.354837468149121</v>
      </c>
      <c r="E26" s="29">
        <f t="shared" si="13"/>
        <v>32.765450102066119</v>
      </c>
      <c r="F26" s="29">
        <f t="shared" si="13"/>
        <v>32.765450102066119</v>
      </c>
      <c r="G26" s="73">
        <f t="shared" si="13"/>
        <v>42.105450102066122</v>
      </c>
      <c r="H26" s="73">
        <f t="shared" si="13"/>
        <v>42.105450102066122</v>
      </c>
      <c r="I26" s="73">
        <f t="shared" si="13"/>
        <v>42.105450102066122</v>
      </c>
      <c r="J26" s="13">
        <f t="shared" si="13"/>
        <v>48.756337251348185</v>
      </c>
      <c r="K26" s="13">
        <f t="shared" si="13"/>
        <v>48.756337251348185</v>
      </c>
      <c r="L26" s="13">
        <f t="shared" si="13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4">P17+P18+P21-P23-P24</f>
        <v>64.176050015345751</v>
      </c>
      <c r="Q26" s="164">
        <f t="shared" si="14"/>
        <v>64.176050015345751</v>
      </c>
      <c r="R26" s="164">
        <f t="shared" si="14"/>
        <v>64.176050015345751</v>
      </c>
      <c r="S26" s="166">
        <f t="shared" si="14"/>
        <v>42.105450102066122</v>
      </c>
      <c r="T26" s="166">
        <f t="shared" si="14"/>
        <v>42.105450102066122</v>
      </c>
      <c r="U26" s="166">
        <f t="shared" si="14"/>
        <v>42.105450102066122</v>
      </c>
      <c r="V26" s="166">
        <f t="shared" ref="V26:AA26" si="15">V17+V18+V21-V23-V24</f>
        <v>58.886962605902561</v>
      </c>
      <c r="W26" s="166">
        <f t="shared" si="15"/>
        <v>58.886962605902561</v>
      </c>
      <c r="X26" s="166">
        <f t="shared" si="15"/>
        <v>58.886962605902561</v>
      </c>
      <c r="Y26" s="166">
        <f t="shared" si="15"/>
        <v>42.105450102066122</v>
      </c>
      <c r="Z26" s="166">
        <f t="shared" si="15"/>
        <v>42.105450102066122</v>
      </c>
      <c r="AA26" s="166">
        <f t="shared" si="15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  <c r="AE26" s="178">
        <f t="shared" ref="AE26:AG26" si="16">AE17+AE18+AE21-AE23-AE24</f>
        <v>41.105450102066122</v>
      </c>
      <c r="AF26" s="178">
        <f t="shared" si="16"/>
        <v>41.105450102066122</v>
      </c>
      <c r="AG26" s="178">
        <f t="shared" si="16"/>
        <v>41.105450102066122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</row>
    <row r="28" spans="1:33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</row>
    <row r="29" spans="1:33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</row>
    <row r="30" spans="1:33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55">
        <v>0</v>
      </c>
      <c r="N30" s="155">
        <v>-3</v>
      </c>
      <c r="O30" s="155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G30" si="20">AE31+10*LOG10(AE28/AE29)-AE32</f>
        <v>0</v>
      </c>
      <c r="AF30" s="178">
        <f t="shared" si="20"/>
        <v>-3</v>
      </c>
      <c r="AG30" s="178">
        <f t="shared" si="20"/>
        <v>-3</v>
      </c>
    </row>
    <row r="31" spans="1:33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</row>
    <row r="32" spans="1:33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</row>
    <row r="33" spans="1:33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</row>
    <row r="34" spans="1:33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</row>
    <row r="35" spans="1:33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</row>
    <row r="36" spans="1:33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</row>
    <row r="37" spans="1:33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</row>
    <row r="38" spans="1:33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</row>
    <row r="39" spans="1:33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</row>
    <row r="40" spans="1:33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G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</row>
    <row r="41" spans="1:33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</row>
    <row r="42" spans="1:33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25">3*360*1000</f>
        <v>1080000</v>
      </c>
      <c r="I42" s="76">
        <f t="shared" si="25"/>
        <v>1080000</v>
      </c>
      <c r="J42" s="17">
        <f>4*360*1000</f>
        <v>1440000</v>
      </c>
      <c r="K42" s="17">
        <f t="shared" ref="K42:L42" si="26">4*360*1000</f>
        <v>1440000</v>
      </c>
      <c r="L42" s="17">
        <f t="shared" si="26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7">12*360*1000</f>
        <v>4320000</v>
      </c>
      <c r="R42" s="182">
        <f t="shared" si="27"/>
        <v>4320000</v>
      </c>
      <c r="S42" s="169">
        <f>3*360*1000</f>
        <v>1080000</v>
      </c>
      <c r="T42" s="169">
        <f t="shared" ref="T42:U42" si="28">3*360*1000</f>
        <v>1080000</v>
      </c>
      <c r="U42" s="169">
        <f t="shared" si="28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9">3*360*1000</f>
        <v>1080000</v>
      </c>
      <c r="AA42" s="169">
        <f t="shared" si="29"/>
        <v>1080000</v>
      </c>
      <c r="AB42" s="182">
        <f>3*360*1000</f>
        <v>1080000</v>
      </c>
      <c r="AC42" s="182">
        <f t="shared" ref="AC42:AD42" si="30">3*360*1000</f>
        <v>1080000</v>
      </c>
      <c r="AD42" s="182">
        <f t="shared" si="30"/>
        <v>1080000</v>
      </c>
      <c r="AE42" s="182">
        <f>3*360*1000</f>
        <v>1080000</v>
      </c>
      <c r="AF42" s="182">
        <f t="shared" ref="AF42:AG42" si="31">3*360*1000</f>
        <v>1080000</v>
      </c>
      <c r="AG42" s="182">
        <f t="shared" si="31"/>
        <v>1080000</v>
      </c>
    </row>
    <row r="43" spans="1:33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</row>
    <row r="44" spans="1:33" ht="15">
      <c r="A44" s="8" t="s">
        <v>72</v>
      </c>
      <c r="B44" s="29">
        <f t="shared" ref="B44:L44" si="32">B40+10*LOG10(B42)</f>
        <v>-105.41637507904753</v>
      </c>
      <c r="C44" s="29">
        <f t="shared" si="32"/>
        <v>-105.41637507904753</v>
      </c>
      <c r="D44" s="29">
        <f t="shared" si="32"/>
        <v>-105.41637507904753</v>
      </c>
      <c r="E44" s="29">
        <f t="shared" si="32"/>
        <v>-106.66576244513053</v>
      </c>
      <c r="F44" s="29">
        <f t="shared" si="32"/>
        <v>-106.66576244513053</v>
      </c>
      <c r="G44" s="73">
        <f t="shared" si="32"/>
        <v>-106.66576244513053</v>
      </c>
      <c r="H44" s="73">
        <f t="shared" si="32"/>
        <v>-106.66576244513053</v>
      </c>
      <c r="I44" s="73">
        <f t="shared" si="32"/>
        <v>-106.66576244513053</v>
      </c>
      <c r="J44" s="13">
        <f t="shared" si="32"/>
        <v>-103.40556343835789</v>
      </c>
      <c r="K44" s="13">
        <f t="shared" si="32"/>
        <v>-103.40556343835789</v>
      </c>
      <c r="L44" s="13">
        <f t="shared" si="32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33">P40+10*LOG10(P42)</f>
        <v>-98.634350891161276</v>
      </c>
      <c r="Q44" s="164">
        <f t="shared" si="33"/>
        <v>-98.634350891161276</v>
      </c>
      <c r="R44" s="164">
        <f t="shared" si="33"/>
        <v>-98.634350891161276</v>
      </c>
      <c r="S44" s="166">
        <f t="shared" si="33"/>
        <v>-106.66576244513053</v>
      </c>
      <c r="T44" s="166">
        <f t="shared" si="33"/>
        <v>-106.66576244513053</v>
      </c>
      <c r="U44" s="166">
        <f t="shared" si="33"/>
        <v>-106.66576244513053</v>
      </c>
      <c r="V44" s="166">
        <f t="shared" ref="V44:AA44" si="34">V40+10*LOG10(V42)</f>
        <v>-96.873438300604462</v>
      </c>
      <c r="W44" s="166">
        <f t="shared" si="34"/>
        <v>-96.873438300604462</v>
      </c>
      <c r="X44" s="166">
        <f t="shared" si="34"/>
        <v>-96.873438300604462</v>
      </c>
      <c r="Y44" s="166">
        <f t="shared" si="34"/>
        <v>-106.66576244513053</v>
      </c>
      <c r="Z44" s="166">
        <f t="shared" si="34"/>
        <v>-106.66576244513053</v>
      </c>
      <c r="AA44" s="166">
        <f t="shared" si="34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  <c r="AE44" s="178">
        <f t="shared" ref="AE44:AG44" si="35">AE40+10*LOG10(AE42)</f>
        <v>-102.53520231859375</v>
      </c>
      <c r="AF44" s="178">
        <f t="shared" si="35"/>
        <v>-102.53520231859375</v>
      </c>
      <c r="AG44" s="178">
        <f t="shared" si="35"/>
        <v>-102.53520231859375</v>
      </c>
    </row>
    <row r="45" spans="1:33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</row>
    <row r="46" spans="1:33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  <c r="AE46" s="182">
        <v>-6.5</v>
      </c>
      <c r="AF46" s="182">
        <v>-3.2</v>
      </c>
      <c r="AG46" s="182">
        <v>0.7</v>
      </c>
    </row>
    <row r="47" spans="1:33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</row>
    <row r="48" spans="1:33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</row>
    <row r="49" spans="1:33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</row>
    <row r="50" spans="1:33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</row>
    <row r="51" spans="1:33" ht="30">
      <c r="A51" s="8" t="s">
        <v>82</v>
      </c>
      <c r="B51" s="29">
        <f t="shared" ref="B51:L51" si="36">B44+B46+B47-B49</f>
        <v>-110.91637507904753</v>
      </c>
      <c r="C51" s="29">
        <f t="shared" si="36"/>
        <v>-107.41637507904753</v>
      </c>
      <c r="D51" s="29">
        <f t="shared" si="36"/>
        <v>-102.21637507904752</v>
      </c>
      <c r="E51" s="29">
        <f t="shared" si="36"/>
        <v>-116.53576244513053</v>
      </c>
      <c r="F51" s="29">
        <f t="shared" si="36"/>
        <v>-112.92576244513053</v>
      </c>
      <c r="G51" s="73">
        <f t="shared" si="36"/>
        <v>-112.28576244513053</v>
      </c>
      <c r="H51" s="73">
        <f t="shared" si="36"/>
        <v>-108.20576244513053</v>
      </c>
      <c r="I51" s="73">
        <f t="shared" si="36"/>
        <v>-102.68576244513052</v>
      </c>
      <c r="J51" s="13">
        <f t="shared" si="36"/>
        <v>-109.32556343835789</v>
      </c>
      <c r="K51" s="13">
        <f t="shared" si="36"/>
        <v>-104.83556343835789</v>
      </c>
      <c r="L51" s="13">
        <f t="shared" si="36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37">P44+P46+P47-P49</f>
        <v>-105.63435089116128</v>
      </c>
      <c r="Q51" s="164">
        <f t="shared" si="37"/>
        <v>-103.23435089116127</v>
      </c>
      <c r="R51" s="164">
        <f t="shared" si="37"/>
        <v>-99.434350891161273</v>
      </c>
      <c r="S51" s="166">
        <f t="shared" si="37"/>
        <v>-110.34576244513053</v>
      </c>
      <c r="T51" s="166">
        <f t="shared" si="37"/>
        <v>-105.83576244513053</v>
      </c>
      <c r="U51" s="166">
        <f t="shared" si="37"/>
        <v>-100.15576244513052</v>
      </c>
      <c r="V51" s="166">
        <f t="shared" ref="V51:AA51" si="38">V44+V46+V47-V49</f>
        <v>-103.23343830060446</v>
      </c>
      <c r="W51" s="166">
        <f t="shared" si="38"/>
        <v>-99.763438300604463</v>
      </c>
      <c r="X51" s="166">
        <f t="shared" si="38"/>
        <v>-95.463438300604466</v>
      </c>
      <c r="Y51" s="166">
        <f t="shared" si="38"/>
        <v>-113.66576244513053</v>
      </c>
      <c r="Z51" s="166">
        <f t="shared" si="38"/>
        <v>-110.66576244513053</v>
      </c>
      <c r="AA51" s="166">
        <f t="shared" si="38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  <c r="AE51" s="178">
        <f t="shared" ref="AE51:AG51" si="39">AE44+AE46+AE47-AE49</f>
        <v>-107.03520231859375</v>
      </c>
      <c r="AF51" s="178">
        <f t="shared" si="39"/>
        <v>-103.73520231859375</v>
      </c>
      <c r="AG51" s="178">
        <f t="shared" si="39"/>
        <v>-99.835202318593744</v>
      </c>
    </row>
    <row r="52" spans="1:33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</row>
    <row r="53" spans="1:33" ht="30">
      <c r="A53" s="22" t="s">
        <v>85</v>
      </c>
      <c r="B53" s="37">
        <f t="shared" ref="B53:G53" si="40">B26+B30+B33-B34-B51</f>
        <v>162.27121254719665</v>
      </c>
      <c r="C53" s="37">
        <f t="shared" si="40"/>
        <v>155.77121254719665</v>
      </c>
      <c r="D53" s="37">
        <f t="shared" si="40"/>
        <v>150.57121254719664</v>
      </c>
      <c r="E53" s="37">
        <f t="shared" si="40"/>
        <v>148.30121254719666</v>
      </c>
      <c r="F53" s="37">
        <f t="shared" si="40"/>
        <v>141.69121254719664</v>
      </c>
      <c r="G53" s="78">
        <f t="shared" si="40"/>
        <v>153.39121254719666</v>
      </c>
      <c r="H53" s="78">
        <f t="shared" ref="H53:L53" si="41">H26+H30+H33-H34-H51</f>
        <v>146.31121254719665</v>
      </c>
      <c r="I53" s="78">
        <f t="shared" si="41"/>
        <v>140.79121254719664</v>
      </c>
      <c r="J53" s="23">
        <f t="shared" si="41"/>
        <v>157.08190068970606</v>
      </c>
      <c r="K53" s="23">
        <f t="shared" si="41"/>
        <v>149.59190068970608</v>
      </c>
      <c r="L53" s="23">
        <f t="shared" si="41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42">Q26+Q30+Q33-Q34-Q51</f>
        <v>163.41040090650702</v>
      </c>
      <c r="R53" s="171">
        <f t="shared" si="42"/>
        <v>159.61040090650704</v>
      </c>
      <c r="S53" s="171">
        <f>S26+S30+S33-S34-S51</f>
        <v>151.45121254719666</v>
      </c>
      <c r="T53" s="171">
        <f t="shared" ref="T53:U53" si="43">T26+T30+T33-T34-T51</f>
        <v>143.94121254719664</v>
      </c>
      <c r="U53" s="171">
        <f t="shared" si="43"/>
        <v>138.26121254719664</v>
      </c>
      <c r="V53" s="171">
        <f>V26+V30+V33-V34-V51</f>
        <v>161.12040090650703</v>
      </c>
      <c r="W53" s="171">
        <f t="shared" ref="W53:X53" si="44">W26+W30+W33-W34-W51</f>
        <v>154.65040090650703</v>
      </c>
      <c r="X53" s="171">
        <f t="shared" si="44"/>
        <v>150.35040090650702</v>
      </c>
      <c r="Y53" s="171">
        <f>Y26+Y30+Y33-Y34-Y51</f>
        <v>154.77121254719665</v>
      </c>
      <c r="Z53" s="171">
        <f t="shared" ref="Z53:AA53" si="45">Z26+Z30+Z33-Z34-Z51</f>
        <v>148.77121254719665</v>
      </c>
      <c r="AA53" s="171">
        <f t="shared" si="45"/>
        <v>145.77121254719665</v>
      </c>
      <c r="AB53" s="179">
        <f>AB26+AB30+AB33-AB34-AB51</f>
        <v>143.57121254719664</v>
      </c>
      <c r="AC53" s="179">
        <f t="shared" ref="AC53:AD53" si="46">AC26+AC30+AC33-AC34-AC51</f>
        <v>137.17121254719666</v>
      </c>
      <c r="AD53" s="179">
        <f t="shared" si="46"/>
        <v>132.37121254719665</v>
      </c>
      <c r="AE53" s="179">
        <f>AE26+AE30+AE33-AE34-AE51</f>
        <v>147.14065242065988</v>
      </c>
      <c r="AF53" s="179">
        <f t="shared" ref="AF53:AG53" si="47">AF26+AF30+AF33-AF34-AF51</f>
        <v>140.84065242065986</v>
      </c>
      <c r="AG53" s="179">
        <f t="shared" si="47"/>
        <v>136.94065242065986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</row>
    <row r="56" spans="1:33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</row>
    <row r="57" spans="1:33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</row>
    <row r="58" spans="1:33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</row>
    <row r="59" spans="1:33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</row>
    <row r="60" spans="1:33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</row>
    <row r="61" spans="1:33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</row>
    <row r="62" spans="1:33" ht="30">
      <c r="A62" s="22" t="s">
        <v>109</v>
      </c>
      <c r="B62" s="37">
        <f t="shared" ref="B62:G62" si="48">B53-B57+B58-B59+B60</f>
        <v>131.54121254719666</v>
      </c>
      <c r="C62" s="37">
        <f t="shared" si="48"/>
        <v>125.04121254719666</v>
      </c>
      <c r="D62" s="37">
        <f t="shared" si="48"/>
        <v>119.84121254719665</v>
      </c>
      <c r="E62" s="37">
        <f t="shared" si="48"/>
        <v>117.57121254719667</v>
      </c>
      <c r="F62" s="37">
        <f t="shared" si="48"/>
        <v>110.96121254719665</v>
      </c>
      <c r="G62" s="78">
        <f t="shared" si="48"/>
        <v>122.66121254719667</v>
      </c>
      <c r="H62" s="78">
        <f t="shared" ref="H62:L62" si="49">H53-H57+H58-H59+H60</f>
        <v>115.58121254719666</v>
      </c>
      <c r="I62" s="78">
        <f t="shared" si="49"/>
        <v>110.06121254719665</v>
      </c>
      <c r="J62" s="23">
        <f t="shared" si="49"/>
        <v>126.35190068970607</v>
      </c>
      <c r="K62" s="23">
        <f t="shared" si="49"/>
        <v>118.86190068970609</v>
      </c>
      <c r="L62" s="23">
        <f t="shared" si="49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50">Q53-Q57+Q58-Q59+Q60</f>
        <v>132.68040090650703</v>
      </c>
      <c r="R62" s="171">
        <f t="shared" si="50"/>
        <v>128.88040090650705</v>
      </c>
      <c r="S62" s="171">
        <f>S53-S57+S58-S59+S60</f>
        <v>120.72121254719667</v>
      </c>
      <c r="T62" s="171">
        <f t="shared" ref="T62:U62" si="51">T53-T57+T58-T59+T60</f>
        <v>113.21121254719665</v>
      </c>
      <c r="U62" s="171">
        <f t="shared" si="51"/>
        <v>107.53121254719665</v>
      </c>
      <c r="V62" s="171">
        <f>V53-V57+V58-V59+V60</f>
        <v>130.39040090650704</v>
      </c>
      <c r="W62" s="171">
        <f t="shared" ref="W62:X62" si="52">W53-W57+W58-W59+W60</f>
        <v>123.92040090650704</v>
      </c>
      <c r="X62" s="171">
        <f t="shared" si="52"/>
        <v>119.62040090650703</v>
      </c>
      <c r="Y62" s="171">
        <f>Y53-Y57+Y58-Y59+Y60</f>
        <v>124.04121254719666</v>
      </c>
      <c r="Z62" s="171">
        <f t="shared" ref="Z62:AA62" si="53">Z53-Z57+Z58-Z59+Z60</f>
        <v>118.04121254719666</v>
      </c>
      <c r="AA62" s="171">
        <f t="shared" si="53"/>
        <v>115.04121254719666</v>
      </c>
      <c r="AB62" s="179">
        <f>AB53-AB57+AB58-AB59+AB60</f>
        <v>112.84121254719665</v>
      </c>
      <c r="AC62" s="179">
        <f t="shared" ref="AC62:AD62" si="54">AC53-AC57+AC58-AC59+AC60</f>
        <v>106.44121254719667</v>
      </c>
      <c r="AD62" s="179">
        <f t="shared" si="54"/>
        <v>101.64121254719664</v>
      </c>
      <c r="AE62" s="179">
        <f>AE53-AE57+AE58-AE59+AE60</f>
        <v>116.41065242065989</v>
      </c>
      <c r="AF62" s="179">
        <f t="shared" ref="AF62:AG62" si="55">AF53-AF57+AF58-AF59+AF60</f>
        <v>110.11065242065987</v>
      </c>
      <c r="AG62" s="179">
        <f t="shared" si="55"/>
        <v>106.21065242065987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</row>
    <row r="64" spans="1:33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</row>
    <row r="65" spans="1:33" ht="15">
      <c r="A65" s="22" t="s">
        <v>98</v>
      </c>
      <c r="B65" s="37">
        <f t="shared" ref="B65:L65" si="56">B17-B23-B51+B21+B33</f>
        <v>153.50000000000003</v>
      </c>
      <c r="C65" s="37">
        <f t="shared" si="56"/>
        <v>150.00000000000003</v>
      </c>
      <c r="D65" s="37">
        <f t="shared" si="56"/>
        <v>144.80000000000001</v>
      </c>
      <c r="E65" s="37">
        <f t="shared" si="56"/>
        <v>142.48000000000005</v>
      </c>
      <c r="F65" s="37">
        <f t="shared" si="56"/>
        <v>138.87000000000003</v>
      </c>
      <c r="G65" s="78">
        <f t="shared" si="56"/>
        <v>144.62000000000003</v>
      </c>
      <c r="H65" s="78">
        <f t="shared" si="56"/>
        <v>140.54000000000002</v>
      </c>
      <c r="I65" s="78">
        <f t="shared" si="56"/>
        <v>135.02000000000001</v>
      </c>
      <c r="J65" s="23">
        <f t="shared" si="56"/>
        <v>150.96068814250944</v>
      </c>
      <c r="K65" s="23">
        <f t="shared" si="56"/>
        <v>146.47068814250946</v>
      </c>
      <c r="L65" s="23">
        <f t="shared" si="56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57">P17-P23-P51+P21+P33</f>
        <v>160.0391883593104</v>
      </c>
      <c r="Q65" s="171">
        <f t="shared" si="57"/>
        <v>157.6391883593104</v>
      </c>
      <c r="R65" s="171">
        <f t="shared" si="57"/>
        <v>153.83918835931041</v>
      </c>
      <c r="S65" s="171">
        <f t="shared" si="57"/>
        <v>142.68000000000004</v>
      </c>
      <c r="T65" s="171">
        <f t="shared" si="57"/>
        <v>138.17000000000002</v>
      </c>
      <c r="U65" s="171">
        <f t="shared" si="57"/>
        <v>132.49</v>
      </c>
      <c r="V65" s="171">
        <f t="shared" ref="V65:AA65" si="58">V17-V23-V51+V21+V33</f>
        <v>152.3491883593104</v>
      </c>
      <c r="W65" s="171">
        <f t="shared" si="58"/>
        <v>148.8791883593104</v>
      </c>
      <c r="X65" s="171">
        <f t="shared" si="58"/>
        <v>144.57918835931039</v>
      </c>
      <c r="Y65" s="171">
        <f t="shared" si="58"/>
        <v>146.00000000000003</v>
      </c>
      <c r="Z65" s="171">
        <f t="shared" si="58"/>
        <v>143.00000000000003</v>
      </c>
      <c r="AA65" s="171">
        <f t="shared" si="58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  <c r="AE65" s="179">
        <f t="shared" ref="AE65:AG65" si="59">AE17-AE23-AE51+AE21+AE33</f>
        <v>138.36943987346325</v>
      </c>
      <c r="AF65" s="179">
        <f t="shared" si="59"/>
        <v>135.06943987346324</v>
      </c>
      <c r="AG65" s="179">
        <f t="shared" si="59"/>
        <v>131.16943987346323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65"/>
  <sheetViews>
    <sheetView workbookViewId="0">
      <pane xSplit="1" ySplit="1" topLeftCell="V50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7.25" style="3" customWidth="1"/>
    <col min="14" max="14" width="19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5.625" style="2" customWidth="1"/>
    <col min="32" max="33" width="15.62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118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131</v>
      </c>
      <c r="AF1" s="202"/>
      <c r="AG1" s="202"/>
    </row>
    <row r="2" spans="1:33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</row>
    <row r="4" spans="1:33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</row>
    <row r="5" spans="1:33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</row>
    <row r="6" spans="1:33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</row>
    <row r="7" spans="1:33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</row>
    <row r="8" spans="1:33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</row>
    <row r="9" spans="1:33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</row>
    <row r="10" spans="1:33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78">
        <v>192</v>
      </c>
      <c r="AF12" s="178">
        <v>192</v>
      </c>
      <c r="AG12" s="178">
        <v>192</v>
      </c>
    </row>
    <row r="13" spans="1:33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78">
        <v>64</v>
      </c>
      <c r="AF13" s="178">
        <v>64</v>
      </c>
      <c r="AG13" s="178">
        <v>64</v>
      </c>
    </row>
    <row r="14" spans="1:33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</row>
    <row r="15" spans="1:33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204">
        <v>24</v>
      </c>
      <c r="AF15" s="204">
        <v>24</v>
      </c>
      <c r="AG15" s="204">
        <v>24</v>
      </c>
    </row>
    <row r="16" spans="1:33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78">
        <f t="shared" ref="AE16:AG16" si="3">AE15+10*LOG10(AE4)</f>
        <v>44</v>
      </c>
      <c r="AF16" s="178">
        <f t="shared" si="3"/>
        <v>44</v>
      </c>
      <c r="AG16" s="178">
        <f t="shared" si="3"/>
        <v>44</v>
      </c>
    </row>
    <row r="17" spans="1:33" ht="30">
      <c r="A17" s="8" t="s">
        <v>35</v>
      </c>
      <c r="B17" s="29">
        <f t="shared" ref="B17:L17" si="4">B15+10*LOG10(B42/1000000)</f>
        <v>44.126050015345747</v>
      </c>
      <c r="C17" s="29">
        <f t="shared" si="4"/>
        <v>44.126050015345747</v>
      </c>
      <c r="D17" s="29">
        <f t="shared" si="4"/>
        <v>44.126050015345747</v>
      </c>
      <c r="E17" s="29">
        <f t="shared" si="4"/>
        <v>35.245042248342827</v>
      </c>
      <c r="F17" s="29">
        <f t="shared" si="4"/>
        <v>35.245042248342827</v>
      </c>
      <c r="G17" s="73">
        <f t="shared" si="4"/>
        <v>35.126050015345747</v>
      </c>
      <c r="H17" s="73">
        <f t="shared" si="4"/>
        <v>35.126050015345747</v>
      </c>
      <c r="I17" s="73">
        <f t="shared" si="4"/>
        <v>35.126050015345747</v>
      </c>
      <c r="J17" s="13">
        <f t="shared" si="4"/>
        <v>45.09515014542631</v>
      </c>
      <c r="K17" s="13">
        <f t="shared" si="4"/>
        <v>45.09515014542631</v>
      </c>
      <c r="L17" s="13">
        <f t="shared" si="4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5">P15+10*LOG10(P42/1000000)</f>
        <v>44.245042248342827</v>
      </c>
      <c r="Q17" s="164">
        <f t="shared" si="5"/>
        <v>44.245042248342827</v>
      </c>
      <c r="R17" s="164">
        <f t="shared" si="5"/>
        <v>44.245042248342827</v>
      </c>
      <c r="S17" s="166">
        <f t="shared" si="5"/>
        <v>35.126050015345747</v>
      </c>
      <c r="T17" s="166">
        <f t="shared" si="5"/>
        <v>35.126050015345747</v>
      </c>
      <c r="U17" s="166">
        <f t="shared" si="5"/>
        <v>35.126050015345747</v>
      </c>
      <c r="V17" s="166">
        <f t="shared" ref="V17:AA17" si="6">V15+10*LOG10(V42/1000000)</f>
        <v>44.360860973840971</v>
      </c>
      <c r="W17" s="166">
        <f t="shared" si="6"/>
        <v>44.360860973840971</v>
      </c>
      <c r="X17" s="166">
        <f t="shared" si="6"/>
        <v>44.360860973840971</v>
      </c>
      <c r="Y17" s="166">
        <f t="shared" si="6"/>
        <v>35.126050015345747</v>
      </c>
      <c r="Z17" s="166">
        <f t="shared" si="6"/>
        <v>35.126050015345747</v>
      </c>
      <c r="AA17" s="166">
        <f t="shared" si="6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  <c r="AE17" s="178">
        <f t="shared" ref="AE17:AG17" si="7">AE15+10*LOG10(AE42/1000000)</f>
        <v>35.583624920952502</v>
      </c>
      <c r="AF17" s="178">
        <f t="shared" si="7"/>
        <v>35.583624920952502</v>
      </c>
      <c r="AG17" s="178">
        <f t="shared" si="7"/>
        <v>35.583624920952502</v>
      </c>
    </row>
    <row r="18" spans="1:33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G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</row>
    <row r="19" spans="1:33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</row>
    <row r="20" spans="1:33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</row>
    <row r="21" spans="1:33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</row>
    <row r="22" spans="1:33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</row>
    <row r="23" spans="1:33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</row>
    <row r="24" spans="1:33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</row>
    <row r="25" spans="1:33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</row>
    <row r="26" spans="1:33" ht="15">
      <c r="A26" s="8" t="s">
        <v>51</v>
      </c>
      <c r="B26" s="29">
        <f t="shared" ref="B26:L26" si="13">B17+B18+B21-B23-B24</f>
        <v>61.89726256254238</v>
      </c>
      <c r="C26" s="29">
        <f t="shared" si="13"/>
        <v>61.89726256254238</v>
      </c>
      <c r="D26" s="29">
        <f t="shared" si="13"/>
        <v>61.89726256254238</v>
      </c>
      <c r="E26" s="29">
        <f t="shared" si="13"/>
        <v>43.67625479553945</v>
      </c>
      <c r="F26" s="29">
        <f t="shared" si="13"/>
        <v>43.67625479553945</v>
      </c>
      <c r="G26" s="73">
        <f t="shared" si="13"/>
        <v>52.897262562542373</v>
      </c>
      <c r="H26" s="73">
        <f t="shared" si="13"/>
        <v>52.897262562542373</v>
      </c>
      <c r="I26" s="73">
        <f t="shared" si="13"/>
        <v>52.897262562542373</v>
      </c>
      <c r="J26" s="13">
        <f t="shared" si="13"/>
        <v>59.267862475822</v>
      </c>
      <c r="K26" s="13">
        <f t="shared" si="13"/>
        <v>59.267862475822</v>
      </c>
      <c r="L26" s="13">
        <f t="shared" si="13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4">P17+P18+P21-P23-P24</f>
        <v>69.06625479553945</v>
      </c>
      <c r="Q26" s="164">
        <f t="shared" si="14"/>
        <v>69.06625479553945</v>
      </c>
      <c r="R26" s="164">
        <f t="shared" si="14"/>
        <v>69.06625479553945</v>
      </c>
      <c r="S26" s="166">
        <f t="shared" si="14"/>
        <v>52.897262562542373</v>
      </c>
      <c r="T26" s="166">
        <f t="shared" si="14"/>
        <v>52.897262562542373</v>
      </c>
      <c r="U26" s="166">
        <f t="shared" si="14"/>
        <v>52.897262562542373</v>
      </c>
      <c r="V26" s="166">
        <f t="shared" ref="V26:AA26" si="15">V17+V18+V21-V23-V24</f>
        <v>62.132073521037597</v>
      </c>
      <c r="W26" s="166">
        <f t="shared" si="15"/>
        <v>62.132073521037597</v>
      </c>
      <c r="X26" s="166">
        <f t="shared" si="15"/>
        <v>62.132073521037597</v>
      </c>
      <c r="Y26" s="166">
        <f t="shared" si="15"/>
        <v>52.897262562542373</v>
      </c>
      <c r="Z26" s="166">
        <f t="shared" si="15"/>
        <v>52.897262562542373</v>
      </c>
      <c r="AA26" s="166">
        <f t="shared" si="15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  <c r="AE26" s="178">
        <f t="shared" ref="AE26:AG26" si="16">AE17+AE18+AE21-AE23-AE24</f>
        <v>52.354837468149128</v>
      </c>
      <c r="AF26" s="178">
        <f t="shared" si="16"/>
        <v>52.354837468149128</v>
      </c>
      <c r="AG26" s="178">
        <f t="shared" si="16"/>
        <v>52.354837468149128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</row>
    <row r="28" spans="1:33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</row>
    <row r="29" spans="1:33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</row>
    <row r="30" spans="1:33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66">
        <v>0</v>
      </c>
      <c r="N30" s="166">
        <v>-3</v>
      </c>
      <c r="O30" s="16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G30" si="20">AE31+10*LOG10(AE28/AE29)-AE32</f>
        <v>0</v>
      </c>
      <c r="AF30" s="178">
        <f t="shared" si="20"/>
        <v>-3</v>
      </c>
      <c r="AG30" s="178">
        <f t="shared" si="20"/>
        <v>-3</v>
      </c>
    </row>
    <row r="31" spans="1:33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</row>
    <row r="32" spans="1:33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</row>
    <row r="33" spans="1:33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</row>
    <row r="34" spans="1:33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</row>
    <row r="35" spans="1:33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</row>
    <row r="36" spans="1:33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</row>
    <row r="37" spans="1:33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</row>
    <row r="38" spans="1:33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</row>
    <row r="39" spans="1:33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</row>
    <row r="40" spans="1:33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G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</row>
    <row r="41" spans="1:33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</row>
    <row r="42" spans="1:33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25">36*360*1000</f>
        <v>12960000</v>
      </c>
      <c r="I42" s="76">
        <f t="shared" si="25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6">37*360*1000</f>
        <v>13320000</v>
      </c>
      <c r="R42" s="182">
        <f t="shared" si="26"/>
        <v>13320000</v>
      </c>
      <c r="S42" s="169">
        <f>36*360*1000</f>
        <v>12960000</v>
      </c>
      <c r="T42" s="169">
        <f t="shared" ref="T42:U42" si="27">36*360*1000</f>
        <v>12960000</v>
      </c>
      <c r="U42" s="169">
        <f t="shared" si="27"/>
        <v>12960000</v>
      </c>
      <c r="V42" s="169">
        <f>38*360*1000</f>
        <v>13680000</v>
      </c>
      <c r="W42" s="169">
        <f t="shared" ref="W42:X42" si="28">38*360*1000</f>
        <v>13680000</v>
      </c>
      <c r="X42" s="169">
        <f t="shared" si="28"/>
        <v>13680000</v>
      </c>
      <c r="Y42" s="169">
        <f>36*360*1000</f>
        <v>12960000</v>
      </c>
      <c r="Z42" s="169">
        <f t="shared" ref="Z42:AA42" si="29">36*360*1000</f>
        <v>12960000</v>
      </c>
      <c r="AA42" s="169">
        <f t="shared" si="29"/>
        <v>12960000</v>
      </c>
      <c r="AB42" s="182">
        <f>36*360*1000</f>
        <v>12960000</v>
      </c>
      <c r="AC42" s="182">
        <f t="shared" ref="AC42:AD42" si="30">36*360*1000</f>
        <v>12960000</v>
      </c>
      <c r="AD42" s="182">
        <f t="shared" si="30"/>
        <v>12960000</v>
      </c>
      <c r="AE42" s="182">
        <f>40*360*1000</f>
        <v>14400000</v>
      </c>
      <c r="AF42" s="182">
        <f>40*360*1000</f>
        <v>14400000</v>
      </c>
      <c r="AG42" s="182">
        <f>40*360*1000</f>
        <v>14400000</v>
      </c>
    </row>
    <row r="43" spans="1:33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</row>
    <row r="44" spans="1:33" ht="15">
      <c r="A44" s="8" t="s">
        <v>72</v>
      </c>
      <c r="B44" s="29">
        <f t="shared" ref="B44:L44" si="31">B40+10*LOG10(B42)</f>
        <v>-95.873949984654288</v>
      </c>
      <c r="C44" s="29">
        <f t="shared" si="31"/>
        <v>-95.873949984654288</v>
      </c>
      <c r="D44" s="29">
        <f t="shared" si="31"/>
        <v>-95.873949984654288</v>
      </c>
      <c r="E44" s="29">
        <f t="shared" si="31"/>
        <v>-95.754957751657201</v>
      </c>
      <c r="F44" s="29">
        <f t="shared" si="31"/>
        <v>-95.754957751657201</v>
      </c>
      <c r="G44" s="73">
        <f t="shared" si="31"/>
        <v>-95.873949984654288</v>
      </c>
      <c r="H44" s="73">
        <f t="shared" si="31"/>
        <v>-95.873949984654288</v>
      </c>
      <c r="I44" s="73">
        <f t="shared" si="31"/>
        <v>-95.873949984654288</v>
      </c>
      <c r="J44" s="13">
        <f t="shared" si="31"/>
        <v>-92.894038213884087</v>
      </c>
      <c r="K44" s="13">
        <f t="shared" si="31"/>
        <v>-92.894038213884087</v>
      </c>
      <c r="L44" s="13">
        <f t="shared" si="31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32">P40+10*LOG10(P42)</f>
        <v>-93.744146110967563</v>
      </c>
      <c r="Q44" s="164">
        <f t="shared" si="32"/>
        <v>-93.744146110967563</v>
      </c>
      <c r="R44" s="164">
        <f t="shared" si="32"/>
        <v>-93.744146110967563</v>
      </c>
      <c r="S44" s="166">
        <f t="shared" si="32"/>
        <v>-95.873949984654288</v>
      </c>
      <c r="T44" s="166">
        <f t="shared" si="32"/>
        <v>-95.873949984654288</v>
      </c>
      <c r="U44" s="166">
        <f t="shared" si="32"/>
        <v>-95.873949984654288</v>
      </c>
      <c r="V44" s="166">
        <f t="shared" ref="V44:AA44" si="33">V40+10*LOG10(V42)</f>
        <v>-93.628327385469419</v>
      </c>
      <c r="W44" s="166">
        <f t="shared" si="33"/>
        <v>-93.628327385469419</v>
      </c>
      <c r="X44" s="166">
        <f t="shared" si="33"/>
        <v>-93.628327385469419</v>
      </c>
      <c r="Y44" s="166">
        <f t="shared" si="33"/>
        <v>-95.873949984654288</v>
      </c>
      <c r="Z44" s="166">
        <f t="shared" si="33"/>
        <v>-95.873949984654288</v>
      </c>
      <c r="AA44" s="166">
        <f t="shared" si="33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  <c r="AE44" s="178">
        <f t="shared" ref="AE44:AG44" si="34">AE40+10*LOG10(AE42)</f>
        <v>-91.285814952510762</v>
      </c>
      <c r="AF44" s="178">
        <f t="shared" si="34"/>
        <v>-91.285814952510762</v>
      </c>
      <c r="AG44" s="178">
        <f t="shared" si="34"/>
        <v>-91.285814952510762</v>
      </c>
    </row>
    <row r="45" spans="1:33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</row>
    <row r="46" spans="1:33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  <c r="AE46" s="182">
        <v>-8</v>
      </c>
      <c r="AF46" s="182">
        <v>-5.5</v>
      </c>
      <c r="AG46" s="182">
        <v>-2.2000000000000002</v>
      </c>
    </row>
    <row r="47" spans="1:33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</row>
    <row r="48" spans="1:33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</row>
    <row r="49" spans="1:33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</row>
    <row r="50" spans="1:33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</row>
    <row r="51" spans="1:33" ht="30">
      <c r="A51" s="8" t="s">
        <v>82</v>
      </c>
      <c r="B51" s="29">
        <f t="shared" ref="B51:L51" si="35">B44+B46+B47-B49</f>
        <v>-101.47394998465428</v>
      </c>
      <c r="C51" s="29">
        <f t="shared" si="35"/>
        <v>-98.873949984654288</v>
      </c>
      <c r="D51" s="29">
        <f t="shared" si="35"/>
        <v>-95.273949984654294</v>
      </c>
      <c r="E51" s="29">
        <f t="shared" si="35"/>
        <v>-105.8849577516572</v>
      </c>
      <c r="F51" s="29">
        <f t="shared" si="35"/>
        <v>-102.21495775165721</v>
      </c>
      <c r="G51" s="73">
        <f t="shared" si="35"/>
        <v>-104.29394998465429</v>
      </c>
      <c r="H51" s="73">
        <f t="shared" si="35"/>
        <v>-101.06394998465429</v>
      </c>
      <c r="I51" s="73">
        <f t="shared" si="35"/>
        <v>-97.29394998465429</v>
      </c>
      <c r="J51" s="13">
        <f t="shared" si="35"/>
        <v>-100.33403821388409</v>
      </c>
      <c r="K51" s="13">
        <f t="shared" si="35"/>
        <v>-96.264038213884092</v>
      </c>
      <c r="L51" s="13">
        <f t="shared" si="35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36">P44+P46+P47-P49</f>
        <v>-97.844146110967557</v>
      </c>
      <c r="Q51" s="164">
        <f t="shared" si="36"/>
        <v>-94.944146110967566</v>
      </c>
      <c r="R51" s="164">
        <f t="shared" si="36"/>
        <v>-91.444146110967566</v>
      </c>
      <c r="S51" s="166">
        <f t="shared" si="36"/>
        <v>-101.68394998465429</v>
      </c>
      <c r="T51" s="166">
        <f t="shared" si="36"/>
        <v>-98.123949984654288</v>
      </c>
      <c r="U51" s="166">
        <f t="shared" si="36"/>
        <v>-94.003949984654284</v>
      </c>
      <c r="V51" s="166">
        <f t="shared" ref="V51:AA51" si="37">V44+V46+V47-V49</f>
        <v>-99.748327385469423</v>
      </c>
      <c r="W51" s="166">
        <f t="shared" si="37"/>
        <v>-96.508327385469414</v>
      </c>
      <c r="X51" s="166">
        <f t="shared" si="37"/>
        <v>-92.628327385469419</v>
      </c>
      <c r="Y51" s="166">
        <f t="shared" si="37"/>
        <v>-102.87394998465429</v>
      </c>
      <c r="Z51" s="166">
        <f t="shared" si="37"/>
        <v>-99.873949984654288</v>
      </c>
      <c r="AA51" s="166">
        <f t="shared" si="37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  <c r="AE51" s="178">
        <f t="shared" ref="AE51:AG51" si="38">AE44+AE46+AE47-AE49</f>
        <v>-97.285814952510762</v>
      </c>
      <c r="AF51" s="178">
        <f t="shared" si="38"/>
        <v>-94.785814952510762</v>
      </c>
      <c r="AG51" s="178">
        <f t="shared" si="38"/>
        <v>-91.485814952510765</v>
      </c>
    </row>
    <row r="52" spans="1:33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</row>
    <row r="53" spans="1:33" ht="30">
      <c r="A53" s="22" t="s">
        <v>85</v>
      </c>
      <c r="B53" s="37">
        <f t="shared" ref="B53:G53" si="39">B26+B30+B33-B34-B51</f>
        <v>162.37121254719665</v>
      </c>
      <c r="C53" s="37">
        <f t="shared" si="39"/>
        <v>156.77121254719668</v>
      </c>
      <c r="D53" s="37">
        <f t="shared" si="39"/>
        <v>153.17121254719666</v>
      </c>
      <c r="E53" s="37">
        <f t="shared" si="39"/>
        <v>148.56121254719665</v>
      </c>
      <c r="F53" s="37">
        <f t="shared" si="39"/>
        <v>141.89121254719666</v>
      </c>
      <c r="G53" s="78">
        <f t="shared" si="39"/>
        <v>156.19121254719667</v>
      </c>
      <c r="H53" s="78">
        <f t="shared" ref="H53:L53" si="40">H26+H30+H33-H34-H51</f>
        <v>149.96121254719665</v>
      </c>
      <c r="I53" s="78">
        <f t="shared" si="40"/>
        <v>146.19121254719667</v>
      </c>
      <c r="J53" s="23">
        <f t="shared" si="40"/>
        <v>158.6019006897061</v>
      </c>
      <c r="K53" s="23">
        <f t="shared" si="40"/>
        <v>151.53190068970611</v>
      </c>
      <c r="L53" s="23">
        <f t="shared" si="40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41">Q26+Q30+Q33-Q34-Q51</f>
        <v>160.01040090650702</v>
      </c>
      <c r="R53" s="171">
        <f t="shared" si="41"/>
        <v>156.51040090650702</v>
      </c>
      <c r="S53" s="171">
        <f>S26+S30+S33-S34-S51</f>
        <v>153.58121254719666</v>
      </c>
      <c r="T53" s="171">
        <f t="shared" ref="T53:U53" si="42">T26+T30+T33-T34-T51</f>
        <v>147.02121254719665</v>
      </c>
      <c r="U53" s="171">
        <f t="shared" si="42"/>
        <v>142.90121254719665</v>
      </c>
      <c r="V53" s="171">
        <f>V26+V30+V33-V34-V51</f>
        <v>160.88040090650702</v>
      </c>
      <c r="W53" s="171">
        <f t="shared" ref="W53:X53" si="43">W26+W30+W33-W34-W51</f>
        <v>154.64040090650701</v>
      </c>
      <c r="X53" s="171">
        <f t="shared" si="43"/>
        <v>150.76040090650702</v>
      </c>
      <c r="Y53" s="171">
        <f>Y26+Y30+Y33-Y34-Y51</f>
        <v>154.77121254719665</v>
      </c>
      <c r="Z53" s="171">
        <f t="shared" ref="Z53:AA53" si="44">Z26+Z30+Z33-Z34-Z51</f>
        <v>148.77121254719665</v>
      </c>
      <c r="AA53" s="171">
        <f t="shared" si="44"/>
        <v>145.77121254719665</v>
      </c>
      <c r="AB53" s="179">
        <f>AB26+AB30+AB33-AB34-AB51</f>
        <v>146.47121254719667</v>
      </c>
      <c r="AC53" s="179">
        <f t="shared" ref="AC53:AD53" si="45">AC26+AC30+AC33-AC34-AC51</f>
        <v>139.87121254719665</v>
      </c>
      <c r="AD53" s="179">
        <f t="shared" si="45"/>
        <v>135.97121254719667</v>
      </c>
      <c r="AE53" s="179">
        <f>AE26+AE30+AE33-AE34-AE51</f>
        <v>148.64065242065988</v>
      </c>
      <c r="AF53" s="179">
        <f t="shared" ref="AF53:AG53" si="46">AF26+AF30+AF33-AF34-AF51</f>
        <v>143.14065242065988</v>
      </c>
      <c r="AG53" s="179">
        <f t="shared" si="46"/>
        <v>139.84065242065989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</row>
    <row r="56" spans="1:33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</row>
    <row r="57" spans="1:33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</row>
    <row r="58" spans="1:33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</row>
    <row r="59" spans="1:33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</row>
    <row r="60" spans="1:33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</row>
    <row r="61" spans="1:33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</row>
    <row r="62" spans="1:33" ht="30">
      <c r="A62" s="22" t="s">
        <v>109</v>
      </c>
      <c r="B62" s="37">
        <f t="shared" ref="B62:G62" si="47">B53-B57+B58-B59+B60</f>
        <v>131.64121254719666</v>
      </c>
      <c r="C62" s="37">
        <f t="shared" si="47"/>
        <v>126.04121254719669</v>
      </c>
      <c r="D62" s="37">
        <f t="shared" si="47"/>
        <v>122.44121254719667</v>
      </c>
      <c r="E62" s="37">
        <f t="shared" si="47"/>
        <v>117.83121254719666</v>
      </c>
      <c r="F62" s="37">
        <f t="shared" si="47"/>
        <v>111.16121254719667</v>
      </c>
      <c r="G62" s="78">
        <f t="shared" si="47"/>
        <v>125.46121254719668</v>
      </c>
      <c r="H62" s="78">
        <f t="shared" ref="H62:L62" si="48">H53-H57+H58-H59+H60</f>
        <v>119.23121254719666</v>
      </c>
      <c r="I62" s="78">
        <f t="shared" si="48"/>
        <v>115.46121254719668</v>
      </c>
      <c r="J62" s="23">
        <f t="shared" si="48"/>
        <v>127.87190068970611</v>
      </c>
      <c r="K62" s="23">
        <f t="shared" si="48"/>
        <v>120.80190068970612</v>
      </c>
      <c r="L62" s="23">
        <f t="shared" si="48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49">Q53-Q57+Q58-Q59+Q60</f>
        <v>129.28040090650703</v>
      </c>
      <c r="R62" s="171">
        <f t="shared" si="49"/>
        <v>125.78040090650703</v>
      </c>
      <c r="S62" s="171">
        <f>S53-S57+S58-S59+S60</f>
        <v>122.85121254719667</v>
      </c>
      <c r="T62" s="171">
        <f t="shared" ref="T62:U62" si="50">T53-T57+T58-T59+T60</f>
        <v>116.29121254719666</v>
      </c>
      <c r="U62" s="171">
        <f t="shared" si="50"/>
        <v>112.17121254719666</v>
      </c>
      <c r="V62" s="171">
        <f>V53-V57+V58-V59+V60</f>
        <v>130.15040090650703</v>
      </c>
      <c r="W62" s="171">
        <f t="shared" ref="W62:X62" si="51">W53-W57+W58-W59+W60</f>
        <v>123.91040090650702</v>
      </c>
      <c r="X62" s="171">
        <f t="shared" si="51"/>
        <v>120.03040090650703</v>
      </c>
      <c r="Y62" s="171">
        <f>Y53-Y57+Y58-Y59+Y60</f>
        <v>124.04121254719666</v>
      </c>
      <c r="Z62" s="171">
        <f t="shared" ref="Z62:AA62" si="52">Z53-Z57+Z58-Z59+Z60</f>
        <v>118.04121254719666</v>
      </c>
      <c r="AA62" s="171">
        <f t="shared" si="52"/>
        <v>115.04121254719666</v>
      </c>
      <c r="AB62" s="179">
        <f>AB53-AB57+AB58-AB59+AB60</f>
        <v>115.74121254719668</v>
      </c>
      <c r="AC62" s="179">
        <f t="shared" ref="AC62:AD62" si="53">AC53-AC57+AC58-AC59+AC60</f>
        <v>109.14121254719666</v>
      </c>
      <c r="AD62" s="179">
        <f t="shared" si="53"/>
        <v>105.24121254719668</v>
      </c>
      <c r="AE62" s="179">
        <f>AE53-AE57+AE58-AE59+AE60</f>
        <v>117.91065242065989</v>
      </c>
      <c r="AF62" s="179">
        <f t="shared" ref="AF62:AG62" si="54">AF53-AF57+AF58-AF59+AF60</f>
        <v>112.41065242065989</v>
      </c>
      <c r="AG62" s="179">
        <f t="shared" si="54"/>
        <v>109.1106524206599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</row>
    <row r="64" spans="1:33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</row>
    <row r="65" spans="1:33" ht="15">
      <c r="A65" s="22" t="s">
        <v>98</v>
      </c>
      <c r="B65" s="37">
        <f t="shared" ref="B65:L65" si="55">B17-B23-B51+B21+B33</f>
        <v>153.60000000000002</v>
      </c>
      <c r="C65" s="37">
        <f t="shared" si="55"/>
        <v>151.00000000000003</v>
      </c>
      <c r="D65" s="37">
        <f t="shared" si="55"/>
        <v>147.40000000000003</v>
      </c>
      <c r="E65" s="37">
        <f t="shared" si="55"/>
        <v>142.74000000000004</v>
      </c>
      <c r="F65" s="37">
        <f t="shared" si="55"/>
        <v>139.07000000000005</v>
      </c>
      <c r="G65" s="78">
        <f t="shared" si="55"/>
        <v>147.42000000000004</v>
      </c>
      <c r="H65" s="78">
        <f t="shared" si="55"/>
        <v>144.19000000000003</v>
      </c>
      <c r="I65" s="78">
        <f t="shared" si="55"/>
        <v>140.42000000000004</v>
      </c>
      <c r="J65" s="23">
        <f t="shared" si="55"/>
        <v>152.48068814250945</v>
      </c>
      <c r="K65" s="23">
        <f t="shared" si="55"/>
        <v>148.41068814250946</v>
      </c>
      <c r="L65" s="23">
        <f t="shared" si="55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56">P17-P23-P51+P21+P33</f>
        <v>157.1391883593104</v>
      </c>
      <c r="Q65" s="171">
        <f t="shared" si="56"/>
        <v>154.23918835931039</v>
      </c>
      <c r="R65" s="171">
        <f t="shared" si="56"/>
        <v>150.73918835931039</v>
      </c>
      <c r="S65" s="171">
        <f t="shared" si="56"/>
        <v>144.81000000000003</v>
      </c>
      <c r="T65" s="171">
        <f t="shared" si="56"/>
        <v>141.25000000000003</v>
      </c>
      <c r="U65" s="171">
        <f t="shared" si="56"/>
        <v>137.13000000000002</v>
      </c>
      <c r="V65" s="171">
        <f t="shared" ref="V65:AA65" si="57">V17-V23-V51+V21+V33</f>
        <v>152.10918835931039</v>
      </c>
      <c r="W65" s="171">
        <f t="shared" si="57"/>
        <v>148.86918835931039</v>
      </c>
      <c r="X65" s="171">
        <f t="shared" si="57"/>
        <v>144.98918835931039</v>
      </c>
      <c r="Y65" s="171">
        <f t="shared" si="57"/>
        <v>146.00000000000003</v>
      </c>
      <c r="Z65" s="171">
        <f t="shared" si="57"/>
        <v>143.00000000000003</v>
      </c>
      <c r="AA65" s="171">
        <f t="shared" si="57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  <c r="AE65" s="179">
        <f t="shared" ref="AE65:AG65" si="58">AE17-AE23-AE51+AE21+AE33</f>
        <v>139.86943987346325</v>
      </c>
      <c r="AF65" s="179">
        <f t="shared" si="58"/>
        <v>137.36943987346325</v>
      </c>
      <c r="AG65" s="179">
        <f t="shared" si="58"/>
        <v>134.06943987346327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5"/>
  <sheetViews>
    <sheetView workbookViewId="0">
      <pane xSplit="1" ySplit="1" topLeftCell="N47" activePane="bottomRight" state="frozen"/>
      <selection pane="topRight"/>
      <selection pane="bottomLeft"/>
      <selection pane="bottomRight" activeCell="V1" sqref="V1:W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20.125" style="3" customWidth="1"/>
    <col min="11" max="11" width="21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20" width="15.625" style="2" customWidth="1"/>
    <col min="21" max="21" width="15.625" style="3" customWidth="1"/>
    <col min="22" max="22" width="15.625" style="2" customWidth="1"/>
    <col min="23" max="23" width="15.625" style="3" customWidth="1"/>
    <col min="24" max="16384" width="9" style="3"/>
  </cols>
  <sheetData>
    <row r="1" spans="1:23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127</v>
      </c>
      <c r="Q1" s="202"/>
      <c r="R1" s="202" t="s">
        <v>128</v>
      </c>
      <c r="S1" s="202"/>
      <c r="T1" s="202" t="s">
        <v>129</v>
      </c>
      <c r="U1" s="202"/>
      <c r="V1" s="202" t="s">
        <v>131</v>
      </c>
      <c r="W1" s="202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</row>
    <row r="3" spans="1:2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  <c r="V3" s="178">
        <v>4</v>
      </c>
      <c r="W3" s="178">
        <v>4</v>
      </c>
    </row>
    <row r="4" spans="1:2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</row>
    <row r="5" spans="1:2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</row>
    <row r="6" spans="1:2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83" t="s">
        <v>16</v>
      </c>
      <c r="W6" s="183" t="s">
        <v>16</v>
      </c>
    </row>
    <row r="7" spans="1:23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</row>
    <row r="8" spans="1:23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</row>
    <row r="9" spans="1:2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</row>
    <row r="10" spans="1:2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</row>
    <row r="13" spans="1:2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</row>
    <row r="14" spans="1:2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</row>
    <row r="15" spans="1:2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</row>
    <row r="16" spans="1:2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</row>
    <row r="17" spans="1:2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</row>
    <row r="18" spans="1:2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  <c r="T18" s="178">
        <f>T19+10*LOG10(T12/T14)-T20</f>
        <v>0</v>
      </c>
      <c r="U18" s="178">
        <f>U19+10*LOG10(U12/U14)-U20</f>
        <v>-3</v>
      </c>
      <c r="V18" s="178">
        <f>V19+10*LOG10(V12/V14)-V20</f>
        <v>0</v>
      </c>
      <c r="W18" s="178">
        <f>W19+10*LOG10(W12/W14)-W20</f>
        <v>-3</v>
      </c>
    </row>
    <row r="19" spans="1:2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</row>
    <row r="20" spans="1:2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</row>
    <row r="22" spans="1:2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</row>
    <row r="23" spans="1:2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</row>
    <row r="24" spans="1:2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</row>
    <row r="25" spans="1:23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</row>
    <row r="26" spans="1:23" ht="15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78">
        <v>22</v>
      </c>
      <c r="K26" s="178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  <c r="T26" s="178">
        <f>T17+T18+T21-T23-T24</f>
        <v>22</v>
      </c>
      <c r="U26" s="178">
        <f>U17+U18+U21-U23-U24</f>
        <v>19</v>
      </c>
      <c r="V26" s="178">
        <f>V17+V18+V21-V23-V24</f>
        <v>22</v>
      </c>
      <c r="W26" s="178">
        <f>W17+W18+W21-W23-W24</f>
        <v>19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</row>
    <row r="28" spans="1:2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</row>
    <row r="29" spans="1:2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</row>
    <row r="30" spans="1:23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v>12.771212547196624</v>
      </c>
      <c r="K30" s="176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  <c r="T30" s="178">
        <f>T31+10*LOG10(T28/T13)-T32</f>
        <v>8.7712125471966242</v>
      </c>
      <c r="U30" s="178">
        <f>U31+10*LOG10(U28/U13)-U32</f>
        <v>8.7712125471966242</v>
      </c>
      <c r="V30" s="178">
        <f>V31+10*LOG10(V28/V13)-V32</f>
        <v>12.771212547196624</v>
      </c>
      <c r="W30" s="178">
        <f>W31+10*LOG10(W28/W13)-W32</f>
        <v>12.771212547196624</v>
      </c>
    </row>
    <row r="31" spans="1:2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</row>
    <row r="32" spans="1:2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</row>
    <row r="33" spans="1:2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  <c r="V33" s="182">
        <v>7</v>
      </c>
      <c r="W33" s="182">
        <v>7</v>
      </c>
    </row>
    <row r="34" spans="1:2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</row>
    <row r="35" spans="1:2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</row>
    <row r="36" spans="1:23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</row>
    <row r="37" spans="1:23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</row>
    <row r="38" spans="1:23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-164.03</v>
      </c>
      <c r="W38" s="186">
        <v>-164.03</v>
      </c>
    </row>
    <row r="39" spans="1:23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</row>
    <row r="40" spans="1:23" ht="30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76">
        <v>-169.00000000000003</v>
      </c>
      <c r="K40" s="176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  <c r="T40" s="178">
        <f>10*LOG10(10^((T35+T36)/10)+10^(T38/10))</f>
        <v>-169.00000000000003</v>
      </c>
      <c r="U40" s="178">
        <f>10*LOG10(10^((U35+U36)/10)+10^(U38/10))</f>
        <v>-169.00000000000003</v>
      </c>
      <c r="V40" s="178">
        <f>10*LOG10(10^((V35+V36)/10)+10^(V38/10))</f>
        <v>-162.82946299127457</v>
      </c>
      <c r="W40" s="178">
        <f>10*LOG10(10^((W35+W36)/10)+10^(W38/10))</f>
        <v>-162.82946299127457</v>
      </c>
    </row>
    <row r="41" spans="1:23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</row>
    <row r="42" spans="1:23" ht="15">
      <c r="A42" s="42" t="s">
        <v>70</v>
      </c>
      <c r="B42" s="13">
        <f t="shared" ref="B42:I42" si="8">2*360*1000</f>
        <v>720000</v>
      </c>
      <c r="C42" s="13">
        <f t="shared" si="8"/>
        <v>720000</v>
      </c>
      <c r="D42" s="13">
        <f t="shared" si="8"/>
        <v>720000</v>
      </c>
      <c r="E42" s="13">
        <f t="shared" si="8"/>
        <v>720000</v>
      </c>
      <c r="F42" s="86">
        <f t="shared" si="8"/>
        <v>720000</v>
      </c>
      <c r="G42" s="86">
        <f t="shared" si="8"/>
        <v>720000</v>
      </c>
      <c r="H42" s="13">
        <f t="shared" si="8"/>
        <v>720000</v>
      </c>
      <c r="I42" s="13">
        <f t="shared" si="8"/>
        <v>720000</v>
      </c>
      <c r="J42" s="176">
        <v>720000</v>
      </c>
      <c r="K42" s="176">
        <v>720000</v>
      </c>
      <c r="L42" s="178">
        <f t="shared" ref="L42:Q42" si="9">2*360*1000</f>
        <v>720000</v>
      </c>
      <c r="M42" s="178">
        <f t="shared" si="9"/>
        <v>720000</v>
      </c>
      <c r="N42" s="176">
        <f t="shared" si="9"/>
        <v>720000</v>
      </c>
      <c r="O42" s="176">
        <f t="shared" si="9"/>
        <v>720000</v>
      </c>
      <c r="P42" s="176">
        <f t="shared" si="9"/>
        <v>720000</v>
      </c>
      <c r="Q42" s="176">
        <f t="shared" si="9"/>
        <v>720000</v>
      </c>
      <c r="R42" s="176">
        <f>2*360*1000</f>
        <v>720000</v>
      </c>
      <c r="S42" s="176">
        <f>2*360*1000</f>
        <v>720000</v>
      </c>
      <c r="T42" s="178">
        <f>2*360*1000</f>
        <v>720000</v>
      </c>
      <c r="U42" s="178">
        <f>2*360*1000</f>
        <v>720000</v>
      </c>
      <c r="V42" s="178">
        <f>2*360*1000</f>
        <v>720000</v>
      </c>
      <c r="W42" s="178">
        <f>2*360*1000</f>
        <v>720000</v>
      </c>
    </row>
    <row r="43" spans="1:23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</row>
    <row r="44" spans="1:23" ht="15">
      <c r="A44" s="8" t="s">
        <v>72</v>
      </c>
      <c r="B44" s="13">
        <f t="shared" ref="B44:I44" si="10">B40+10*LOG10(B42)</f>
        <v>-110.42667503568734</v>
      </c>
      <c r="C44" s="13">
        <f t="shared" si="10"/>
        <v>-110.42667503568734</v>
      </c>
      <c r="D44" s="13">
        <f t="shared" si="10"/>
        <v>-110.42667503568734</v>
      </c>
      <c r="E44" s="13">
        <f t="shared" si="10"/>
        <v>-110.42667503568734</v>
      </c>
      <c r="F44" s="86">
        <f t="shared" si="10"/>
        <v>-110.42667503568734</v>
      </c>
      <c r="G44" s="86">
        <f t="shared" si="10"/>
        <v>-110.42667503568734</v>
      </c>
      <c r="H44" s="13">
        <f t="shared" si="10"/>
        <v>-105.46019811105398</v>
      </c>
      <c r="I44" s="13">
        <f t="shared" si="10"/>
        <v>-105.46019811105398</v>
      </c>
      <c r="J44" s="176">
        <v>-110.42667503568734</v>
      </c>
      <c r="K44" s="176">
        <v>-110.42667503568734</v>
      </c>
      <c r="L44" s="178">
        <f t="shared" ref="L44:Q44" si="11">L40+10*LOG10(L42)</f>
        <v>-105.46019811105398</v>
      </c>
      <c r="M44" s="178">
        <f t="shared" si="11"/>
        <v>-105.46019811105398</v>
      </c>
      <c r="N44" s="176">
        <f t="shared" si="11"/>
        <v>-110.42667503568734</v>
      </c>
      <c r="O44" s="176">
        <f t="shared" si="11"/>
        <v>-110.42667503568734</v>
      </c>
      <c r="P44" s="176">
        <f t="shared" si="11"/>
        <v>-105.46019811105398</v>
      </c>
      <c r="Q44" s="176">
        <f t="shared" si="11"/>
        <v>-105.46019811105398</v>
      </c>
      <c r="R44" s="176">
        <f>R40+10*LOG10(R42)</f>
        <v>-110.42667503568734</v>
      </c>
      <c r="S44" s="176">
        <f>S40+10*LOG10(S42)</f>
        <v>-110.42667503568734</v>
      </c>
      <c r="T44" s="178">
        <f>T40+10*LOG10(T42)</f>
        <v>-110.42667503568734</v>
      </c>
      <c r="U44" s="178">
        <f>U40+10*LOG10(U42)</f>
        <v>-110.42667503568734</v>
      </c>
      <c r="V44" s="178">
        <f>V40+10*LOG10(V42)</f>
        <v>-104.25613802696188</v>
      </c>
      <c r="W44" s="178">
        <f>W40+10*LOG10(W42)</f>
        <v>-104.25613802696188</v>
      </c>
    </row>
    <row r="45" spans="1:23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</row>
    <row r="46" spans="1:23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  <c r="V46" s="182">
        <v>-6</v>
      </c>
      <c r="W46" s="182">
        <v>-6</v>
      </c>
    </row>
    <row r="47" spans="1:2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</row>
    <row r="48" spans="1:23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</row>
    <row r="49" spans="1:23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</row>
    <row r="50" spans="1:23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</row>
    <row r="51" spans="1:23" ht="30">
      <c r="A51" s="8" t="s">
        <v>82</v>
      </c>
      <c r="B51" s="13">
        <f t="shared" ref="B51:I51" si="12">B44+B46+B47-B49</f>
        <v>-110.22667503568734</v>
      </c>
      <c r="C51" s="13">
        <f t="shared" si="12"/>
        <v>-110.22667503568734</v>
      </c>
      <c r="D51" s="13">
        <f t="shared" si="12"/>
        <v>-115.46667503568735</v>
      </c>
      <c r="E51" s="13">
        <f t="shared" si="12"/>
        <v>-115.46667503568735</v>
      </c>
      <c r="F51" s="86">
        <f t="shared" si="12"/>
        <v>-114.91667503568733</v>
      </c>
      <c r="G51" s="86">
        <f t="shared" si="12"/>
        <v>-114.91667503568733</v>
      </c>
      <c r="H51" s="13">
        <f t="shared" si="12"/>
        <v>-105.49019811105399</v>
      </c>
      <c r="I51" s="13">
        <f t="shared" si="12"/>
        <v>-105.75019811105399</v>
      </c>
      <c r="J51" s="176">
        <v>-113.72667503568734</v>
      </c>
      <c r="K51" s="176">
        <v>-113.72667503568734</v>
      </c>
      <c r="L51" s="178">
        <f t="shared" ref="L51:Q51" si="13">L44+L46+L47-L49</f>
        <v>-100.46019811105398</v>
      </c>
      <c r="M51" s="178">
        <f t="shared" si="13"/>
        <v>-100.46019811105398</v>
      </c>
      <c r="N51" s="176">
        <f t="shared" si="13"/>
        <v>-114.86667503568734</v>
      </c>
      <c r="O51" s="176">
        <f t="shared" si="13"/>
        <v>-114.86667503568734</v>
      </c>
      <c r="P51" s="176">
        <f t="shared" si="13"/>
        <v>-109.89019811105399</v>
      </c>
      <c r="Q51" s="176">
        <f t="shared" si="13"/>
        <v>-109.89019811105399</v>
      </c>
      <c r="R51" s="176">
        <f>R44+R46+R47-R49</f>
        <v>-113.72667503568734</v>
      </c>
      <c r="S51" s="176">
        <f>S44+S46+S47-S49</f>
        <v>-113.72667503568734</v>
      </c>
      <c r="T51" s="178">
        <f>T44+T46+T47-T49</f>
        <v>-114.52667503568733</v>
      </c>
      <c r="U51" s="178">
        <f>U44+U46+U47-U49</f>
        <v>-114.52667503568733</v>
      </c>
      <c r="V51" s="178">
        <f>V44+V46+V47-V49</f>
        <v>-108.25613802696188</v>
      </c>
      <c r="W51" s="178">
        <f>W44+W46+W47-W49</f>
        <v>-108.25613802696188</v>
      </c>
    </row>
    <row r="52" spans="1:23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</row>
    <row r="53" spans="1:23" ht="30">
      <c r="A53" s="45" t="s">
        <v>85</v>
      </c>
      <c r="B53" s="23">
        <f t="shared" ref="B53:I53" si="14">B26+B30+B33-B34-B51</f>
        <v>149.99788758288395</v>
      </c>
      <c r="C53" s="23">
        <f t="shared" si="14"/>
        <v>146.99788758288395</v>
      </c>
      <c r="D53" s="23">
        <f t="shared" si="14"/>
        <v>156.32788758288396</v>
      </c>
      <c r="E53" s="23">
        <f t="shared" si="14"/>
        <v>153.32788758288396</v>
      </c>
      <c r="F53" s="90">
        <f t="shared" si="14"/>
        <v>154.68788758288395</v>
      </c>
      <c r="G53" s="90">
        <f t="shared" si="14"/>
        <v>151.68788758288395</v>
      </c>
      <c r="H53" s="23">
        <f t="shared" si="14"/>
        <v>152.31291044144967</v>
      </c>
      <c r="I53" s="23">
        <f t="shared" si="14"/>
        <v>149.57291044144966</v>
      </c>
      <c r="J53" s="179">
        <v>153.49788758288395</v>
      </c>
      <c r="K53" s="179">
        <v>150.49788758288395</v>
      </c>
      <c r="L53" s="179">
        <f t="shared" ref="L53:Q53" si="15">L26+L30+L33-L34-L51</f>
        <v>147.28141065825059</v>
      </c>
      <c r="M53" s="179">
        <f t="shared" si="15"/>
        <v>144.28141065825059</v>
      </c>
      <c r="N53" s="179">
        <f t="shared" si="15"/>
        <v>154.63788758288396</v>
      </c>
      <c r="O53" s="179">
        <f t="shared" si="15"/>
        <v>151.63788758288396</v>
      </c>
      <c r="P53" s="179">
        <f t="shared" si="15"/>
        <v>149.66141065825062</v>
      </c>
      <c r="Q53" s="179">
        <f t="shared" si="15"/>
        <v>146.66141065825062</v>
      </c>
      <c r="R53" s="179">
        <f>R26+R30+R33-R34-R51</f>
        <v>153.49788758288395</v>
      </c>
      <c r="S53" s="179">
        <f>S26+S30+S33-S34-S51</f>
        <v>150.49788758288395</v>
      </c>
      <c r="T53" s="179">
        <f>T26+T30+T33-T34-T51</f>
        <v>151.29788758288396</v>
      </c>
      <c r="U53" s="179">
        <f>U26+U30+U33-U34-U51</f>
        <v>148.29788758288396</v>
      </c>
      <c r="V53" s="179">
        <f>V26+V30+V33-V34-V51</f>
        <v>147.0273505741585</v>
      </c>
      <c r="W53" s="179">
        <f>W26+W30+W33-W34-W51</f>
        <v>144.0273505741585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</row>
    <row r="56" spans="1:23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</row>
    <row r="57" spans="1:23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</row>
    <row r="58" spans="1:2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</row>
    <row r="59" spans="1:2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</row>
    <row r="60" spans="1:2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</row>
    <row r="61" spans="1:23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</row>
    <row r="62" spans="1:23" ht="30">
      <c r="A62" s="45" t="s">
        <v>109</v>
      </c>
      <c r="B62" s="23">
        <f t="shared" ref="B62:I62" si="16">B53-B57+B58-B59+B60</f>
        <v>119.26788758288396</v>
      </c>
      <c r="C62" s="23">
        <f t="shared" si="16"/>
        <v>116.26788758288396</v>
      </c>
      <c r="D62" s="23">
        <f t="shared" si="16"/>
        <v>125.59788758288397</v>
      </c>
      <c r="E62" s="23">
        <f t="shared" si="16"/>
        <v>122.59788758288397</v>
      </c>
      <c r="F62" s="90">
        <f t="shared" si="16"/>
        <v>123.95788758288396</v>
      </c>
      <c r="G62" s="90">
        <f t="shared" si="16"/>
        <v>120.95788758288396</v>
      </c>
      <c r="H62" s="23">
        <f t="shared" si="16"/>
        <v>121.58291044144968</v>
      </c>
      <c r="I62" s="23">
        <f t="shared" si="16"/>
        <v>118.84291044144967</v>
      </c>
      <c r="J62" s="179">
        <v>122.76788758288396</v>
      </c>
      <c r="K62" s="179">
        <v>119.76788758288396</v>
      </c>
      <c r="L62" s="179">
        <f t="shared" ref="L62:Q62" si="17">L53-L57+L58-L59+L60</f>
        <v>116.5514106582506</v>
      </c>
      <c r="M62" s="179">
        <f t="shared" si="17"/>
        <v>113.5514106582506</v>
      </c>
      <c r="N62" s="179">
        <f t="shared" si="17"/>
        <v>123.90788758288397</v>
      </c>
      <c r="O62" s="179">
        <f t="shared" si="17"/>
        <v>120.90788758288397</v>
      </c>
      <c r="P62" s="179">
        <f t="shared" si="17"/>
        <v>118.93141065825063</v>
      </c>
      <c r="Q62" s="179">
        <f t="shared" si="17"/>
        <v>115.93141065825063</v>
      </c>
      <c r="R62" s="179">
        <f>R53-R57+R58-R59+R60</f>
        <v>122.76788758288396</v>
      </c>
      <c r="S62" s="179">
        <f>S53-S57+S58-S59+S60</f>
        <v>119.76788758288396</v>
      </c>
      <c r="T62" s="179">
        <f>T53-T57+T58-T59+T60</f>
        <v>120.56788758288397</v>
      </c>
      <c r="U62" s="179">
        <f>U53-U57+U58-U59+U60</f>
        <v>117.56788758288397</v>
      </c>
      <c r="V62" s="179">
        <f>V53-V57+V58-V59+V60</f>
        <v>116.29735057415851</v>
      </c>
      <c r="W62" s="179">
        <f>W53-W57+W58-W59+W60</f>
        <v>113.29735057415851</v>
      </c>
    </row>
    <row r="63" spans="1:23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</row>
    <row r="64" spans="1:23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</row>
    <row r="65" spans="1:23" ht="15">
      <c r="A65" s="45" t="s">
        <v>98</v>
      </c>
      <c r="B65" s="23">
        <f t="shared" ref="B65:I65" si="18">B17-B23-B51+B21+B33</f>
        <v>141.22667503568732</v>
      </c>
      <c r="C65" s="23">
        <f t="shared" si="18"/>
        <v>141.22667503568732</v>
      </c>
      <c r="D65" s="23">
        <f t="shared" si="18"/>
        <v>150.50667503568732</v>
      </c>
      <c r="E65" s="23">
        <f t="shared" si="18"/>
        <v>150.50667503568732</v>
      </c>
      <c r="F65" s="90">
        <f t="shared" si="18"/>
        <v>145.91667503568732</v>
      </c>
      <c r="G65" s="90">
        <f t="shared" si="18"/>
        <v>145.91667503568732</v>
      </c>
      <c r="H65" s="23">
        <f t="shared" si="18"/>
        <v>143.54169789425305</v>
      </c>
      <c r="I65" s="23">
        <f t="shared" si="18"/>
        <v>143.80169789425304</v>
      </c>
      <c r="J65" s="179">
        <v>144.72667503568732</v>
      </c>
      <c r="K65" s="179">
        <v>144.72667503568732</v>
      </c>
      <c r="L65" s="179">
        <f t="shared" ref="L65:Q65" si="19">L17-L23-L51+L21+L33</f>
        <v>138.510198111054</v>
      </c>
      <c r="M65" s="179">
        <f t="shared" si="19"/>
        <v>138.510198111054</v>
      </c>
      <c r="N65" s="179">
        <f t="shared" si="19"/>
        <v>145.86667503568734</v>
      </c>
      <c r="O65" s="179">
        <f t="shared" si="19"/>
        <v>145.86667503568734</v>
      </c>
      <c r="P65" s="179">
        <f t="shared" si="19"/>
        <v>140.89019811105399</v>
      </c>
      <c r="Q65" s="179">
        <f t="shared" si="19"/>
        <v>140.89019811105399</v>
      </c>
      <c r="R65" s="179">
        <f>R17-R23-R51+R21+R33</f>
        <v>144.72667503568732</v>
      </c>
      <c r="S65" s="179">
        <f>S17-S23-S51+S21+S33</f>
        <v>144.72667503568732</v>
      </c>
      <c r="T65" s="179">
        <f>T17-T23-T51+T21+T33</f>
        <v>146.52667503568733</v>
      </c>
      <c r="U65" s="179">
        <f>U17-U23-U51+U21+U33</f>
        <v>146.52667503568733</v>
      </c>
      <c r="V65" s="179">
        <f>V17-V23-V51+V21+V33</f>
        <v>138.25613802696188</v>
      </c>
      <c r="W65" s="179">
        <f>W17-W23-W51+W21+W33</f>
        <v>138.25613802696188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7" width="15.625" style="3" customWidth="1"/>
    <col min="8" max="8" width="15.625" style="2" customWidth="1"/>
    <col min="9" max="10" width="15.625" style="3" customWidth="1"/>
    <col min="11" max="16384" width="9" style="3"/>
  </cols>
  <sheetData>
    <row r="1" spans="1:10" ht="14.25" customHeight="1">
      <c r="A1" s="4"/>
      <c r="B1" s="202" t="s">
        <v>120</v>
      </c>
      <c r="C1" s="202"/>
      <c r="D1" s="202"/>
      <c r="E1" s="202" t="s">
        <v>128</v>
      </c>
      <c r="F1" s="202"/>
      <c r="G1" s="202"/>
      <c r="H1" s="202" t="s">
        <v>129</v>
      </c>
      <c r="I1" s="202"/>
      <c r="J1" s="202"/>
    </row>
    <row r="2" spans="1:1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</row>
    <row r="3" spans="1:10" ht="15">
      <c r="A3" s="8" t="s">
        <v>11</v>
      </c>
      <c r="B3" s="9">
        <v>4</v>
      </c>
      <c r="C3" s="9">
        <v>4</v>
      </c>
      <c r="D3" s="9">
        <v>4</v>
      </c>
      <c r="E3" s="164">
        <v>2.6</v>
      </c>
      <c r="F3" s="164">
        <v>2.6</v>
      </c>
      <c r="G3" s="164">
        <v>2.6</v>
      </c>
      <c r="H3" s="178">
        <v>4</v>
      </c>
      <c r="I3" s="178">
        <v>4</v>
      </c>
      <c r="J3" s="178">
        <v>4</v>
      </c>
    </row>
    <row r="4" spans="1:10" ht="15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</row>
    <row r="5" spans="1:10" ht="15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</row>
    <row r="6" spans="1:10" ht="15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</row>
    <row r="7" spans="1:10" ht="15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</row>
    <row r="8" spans="1:10" ht="15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</row>
    <row r="9" spans="1:10" ht="15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</row>
    <row r="10" spans="1:10" ht="15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</row>
    <row r="11" spans="1:10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</row>
    <row r="12" spans="1:10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</row>
    <row r="13" spans="1:10" ht="15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</row>
    <row r="14" spans="1:10" ht="15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</row>
    <row r="15" spans="1:10" ht="15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</row>
    <row r="16" spans="1:10" ht="15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</row>
    <row r="17" spans="1:10" ht="30">
      <c r="A17" s="8" t="s">
        <v>35</v>
      </c>
      <c r="B17" s="13">
        <f t="shared" ref="B17:G17" si="1">B15+10*LOG10(B42/1000000)</f>
        <v>41.57332496431269</v>
      </c>
      <c r="C17" s="13">
        <f t="shared" si="1"/>
        <v>41.57332496431269</v>
      </c>
      <c r="D17" s="13">
        <f t="shared" si="1"/>
        <v>41.57332496431269</v>
      </c>
      <c r="E17" s="166">
        <f t="shared" si="1"/>
        <v>32.57332496431269</v>
      </c>
      <c r="F17" s="166">
        <f t="shared" si="1"/>
        <v>32.57332496431269</v>
      </c>
      <c r="G17" s="166">
        <f t="shared" si="1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</row>
    <row r="18" spans="1:10" ht="45">
      <c r="A18" s="15" t="s">
        <v>37</v>
      </c>
      <c r="B18" s="13">
        <f t="shared" ref="B18:G18" si="2">B19+10*LOG10(B12/B13)-B20</f>
        <v>10.121212547196624</v>
      </c>
      <c r="C18" s="13">
        <f t="shared" si="2"/>
        <v>10.121212547196624</v>
      </c>
      <c r="D18" s="13">
        <f t="shared" si="2"/>
        <v>10.121212547196624</v>
      </c>
      <c r="E18" s="166">
        <f t="shared" si="2"/>
        <v>12.771212547196624</v>
      </c>
      <c r="F18" s="166">
        <f t="shared" si="2"/>
        <v>12.771212547196624</v>
      </c>
      <c r="G18" s="166">
        <f t="shared" si="2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</row>
    <row r="19" spans="1:10" ht="15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</row>
    <row r="20" spans="1:10" ht="45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</row>
    <row r="21" spans="1:10" ht="61.5" customHeight="1">
      <c r="A21" s="33" t="s">
        <v>43</v>
      </c>
      <c r="B21" s="17">
        <f>10*LOG10(B13/B14)-8</f>
        <v>7.0514997831990609</v>
      </c>
      <c r="C21" s="17">
        <f t="shared" ref="C21:D21" si="3">10*LOG10(C13/C14)-8</f>
        <v>7.0514997831990609</v>
      </c>
      <c r="D21" s="17">
        <f t="shared" si="3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</row>
    <row r="22" spans="1:10" ht="15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</row>
    <row r="23" spans="1:10" ht="15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</row>
    <row r="24" spans="1:10" ht="30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</row>
    <row r="25" spans="1:10" ht="15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</row>
    <row r="26" spans="1:10" ht="15">
      <c r="A26" s="8" t="s">
        <v>51</v>
      </c>
      <c r="B26" s="13">
        <f t="shared" ref="B26:G26" si="4">B17+B18+B21-B23-B24</f>
        <v>55.746037294708373</v>
      </c>
      <c r="C26" s="13">
        <f t="shared" si="4"/>
        <v>55.746037294708373</v>
      </c>
      <c r="D26" s="13">
        <f t="shared" si="4"/>
        <v>55.746037294708373</v>
      </c>
      <c r="E26" s="166">
        <f t="shared" si="4"/>
        <v>50.344537511509316</v>
      </c>
      <c r="F26" s="166">
        <f t="shared" si="4"/>
        <v>50.344537511509316</v>
      </c>
      <c r="G26" s="166">
        <f t="shared" si="4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</row>
    <row r="27" spans="1:10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</row>
    <row r="28" spans="1:10" ht="15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</row>
    <row r="29" spans="1:10" ht="15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</row>
    <row r="30" spans="1:10" ht="45">
      <c r="A30" s="8" t="s">
        <v>56</v>
      </c>
      <c r="B30" s="13">
        <f t="shared" ref="B30:G30" si="5">B31+10*LOG10(B28/B29)-B32</f>
        <v>0</v>
      </c>
      <c r="C30" s="13">
        <f t="shared" si="5"/>
        <v>-3</v>
      </c>
      <c r="D30" s="13">
        <f t="shared" si="5"/>
        <v>-3</v>
      </c>
      <c r="E30" s="166">
        <f t="shared" si="5"/>
        <v>0</v>
      </c>
      <c r="F30" s="166">
        <f t="shared" si="5"/>
        <v>-3</v>
      </c>
      <c r="G30" s="166">
        <f t="shared" si="5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</row>
    <row r="31" spans="1:10" ht="15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</row>
    <row r="32" spans="1:10" ht="45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</row>
    <row r="33" spans="1:10" ht="28.5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</row>
    <row r="34" spans="1:10" ht="30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</row>
    <row r="35" spans="1:10" ht="15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</row>
    <row r="36" spans="1:10" ht="15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</row>
    <row r="37" spans="1:10" ht="15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</row>
    <row r="38" spans="1:10" ht="15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</row>
    <row r="39" spans="1:10" ht="30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</row>
    <row r="40" spans="1:10" ht="30">
      <c r="A40" s="8" t="s">
        <v>107</v>
      </c>
      <c r="B40" s="13">
        <f t="shared" ref="B40:G40" si="6">10*LOG10(10^((B35+B36)/10)+10^(B38/10))</f>
        <v>-164.98918835931039</v>
      </c>
      <c r="C40" s="13">
        <f t="shared" si="6"/>
        <v>-164.98918835931039</v>
      </c>
      <c r="D40" s="13">
        <f t="shared" si="6"/>
        <v>-164.98918835931039</v>
      </c>
      <c r="E40" s="166">
        <f t="shared" si="6"/>
        <v>-167.00000000000003</v>
      </c>
      <c r="F40" s="166">
        <f t="shared" si="6"/>
        <v>-167.00000000000003</v>
      </c>
      <c r="G40" s="166">
        <f t="shared" si="6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</row>
    <row r="41" spans="1:10" ht="15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</row>
    <row r="42" spans="1:10" ht="15">
      <c r="A42" s="35" t="s">
        <v>70</v>
      </c>
      <c r="B42" s="17">
        <f>20*360*1000</f>
        <v>7200000</v>
      </c>
      <c r="C42" s="17">
        <f t="shared" ref="C42:D42" si="7">20*360*1000</f>
        <v>7200000</v>
      </c>
      <c r="D42" s="17">
        <f t="shared" si="7"/>
        <v>7200000</v>
      </c>
      <c r="E42" s="169">
        <f>20*360*1000</f>
        <v>7200000</v>
      </c>
      <c r="F42" s="169">
        <f t="shared" ref="F42:G42" si="8">20*360*1000</f>
        <v>7200000</v>
      </c>
      <c r="G42" s="169">
        <f t="shared" si="8"/>
        <v>7200000</v>
      </c>
      <c r="H42" s="182">
        <f>20*360*1000</f>
        <v>7200000</v>
      </c>
      <c r="I42" s="182">
        <f t="shared" ref="I42:J42" si="9">20*360*1000</f>
        <v>7200000</v>
      </c>
      <c r="J42" s="182">
        <f t="shared" si="9"/>
        <v>7200000</v>
      </c>
    </row>
    <row r="43" spans="1:10" ht="15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</row>
    <row r="44" spans="1:10" ht="15">
      <c r="A44" s="8" t="s">
        <v>72</v>
      </c>
      <c r="B44" s="13">
        <f t="shared" ref="B44:G44" si="10">B40+10*LOG10(B42)</f>
        <v>-96.415863394997714</v>
      </c>
      <c r="C44" s="13">
        <f t="shared" si="10"/>
        <v>-96.415863394997714</v>
      </c>
      <c r="D44" s="13">
        <f t="shared" si="10"/>
        <v>-96.415863394997714</v>
      </c>
      <c r="E44" s="166">
        <f t="shared" si="10"/>
        <v>-98.426675035687353</v>
      </c>
      <c r="F44" s="166">
        <f t="shared" si="10"/>
        <v>-98.426675035687353</v>
      </c>
      <c r="G44" s="166">
        <f t="shared" si="10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</row>
    <row r="45" spans="1:10" ht="15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</row>
    <row r="46" spans="1:10" ht="15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</row>
    <row r="47" spans="1:10" ht="15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</row>
    <row r="48" spans="1:10" ht="30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</row>
    <row r="49" spans="1:10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</row>
    <row r="50" spans="1:10" ht="30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</row>
    <row r="51" spans="1:10" ht="30">
      <c r="A51" s="8" t="s">
        <v>82</v>
      </c>
      <c r="B51" s="13">
        <f t="shared" ref="B51:G51" si="11">B44+B46+B47-B49</f>
        <v>-106.03586339499772</v>
      </c>
      <c r="C51" s="13">
        <f t="shared" si="11"/>
        <v>-103.57586339499771</v>
      </c>
      <c r="D51" s="13">
        <f t="shared" si="11"/>
        <v>-100.88586339499771</v>
      </c>
      <c r="E51" s="166">
        <f t="shared" si="11"/>
        <v>-108.42667503568735</v>
      </c>
      <c r="F51" s="166">
        <f t="shared" si="11"/>
        <v>-105.42667503568735</v>
      </c>
      <c r="G51" s="166">
        <f t="shared" si="11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</row>
    <row r="52" spans="1:10" ht="30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</row>
    <row r="53" spans="1:10" ht="30">
      <c r="A53" s="22" t="s">
        <v>85</v>
      </c>
      <c r="B53" s="23">
        <f>B26+B30+B33-B34-B51</f>
        <v>160.78190068970611</v>
      </c>
      <c r="C53" s="23">
        <f t="shared" ref="C53:D53" si="12">C26+C30+C33-C34-C51</f>
        <v>155.32190068970607</v>
      </c>
      <c r="D53" s="23">
        <f t="shared" si="12"/>
        <v>152.63190068970607</v>
      </c>
      <c r="E53" s="171">
        <f>E26+E30+E33-E34-E51</f>
        <v>157.77121254719668</v>
      </c>
      <c r="F53" s="171">
        <f t="shared" ref="F53:G53" si="13">F26+F30+F33-F34-F51</f>
        <v>151.77121254719668</v>
      </c>
      <c r="G53" s="171">
        <f t="shared" si="13"/>
        <v>148.77121254719668</v>
      </c>
      <c r="H53" s="179">
        <f>H26+H30+H33-H34-H51</f>
        <v>150.87121254719665</v>
      </c>
      <c r="I53" s="179">
        <f t="shared" ref="I53:J53" si="14">I26+I30+I33-I34-I51</f>
        <v>144.97121254719667</v>
      </c>
      <c r="J53" s="179">
        <f t="shared" si="14"/>
        <v>141.37121254719665</v>
      </c>
    </row>
    <row r="54" spans="1:10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</row>
    <row r="55" spans="1:10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</row>
    <row r="56" spans="1:10" ht="30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</row>
    <row r="57" spans="1:10" ht="30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</row>
    <row r="58" spans="1:10" ht="15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</row>
    <row r="59" spans="1:10" ht="15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</row>
    <row r="60" spans="1:10" ht="15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</row>
    <row r="61" spans="1:10" ht="30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</row>
    <row r="62" spans="1:10" ht="30">
      <c r="A62" s="22" t="s">
        <v>109</v>
      </c>
      <c r="B62" s="23">
        <f>B53-B57+B58-B59+B60</f>
        <v>126.9719006897061</v>
      </c>
      <c r="C62" s="23">
        <f t="shared" ref="C62:D62" si="15">C53-C57+C58-C59+C60</f>
        <v>121.51190068970607</v>
      </c>
      <c r="D62" s="23">
        <f t="shared" si="15"/>
        <v>118.82190068970607</v>
      </c>
      <c r="E62" s="171">
        <f>E53-E57+E58-E59+E60</f>
        <v>127.04121254719669</v>
      </c>
      <c r="F62" s="171">
        <f t="shared" ref="F62:G62" si="16">F53-F57+F58-F59+F60</f>
        <v>121.04121254719669</v>
      </c>
      <c r="G62" s="171">
        <f t="shared" si="16"/>
        <v>118.04121254719669</v>
      </c>
      <c r="H62" s="179">
        <f>H53-H57+H58-H59+H60</f>
        <v>120.14121254719666</v>
      </c>
      <c r="I62" s="179">
        <f t="shared" ref="I62:J62" si="17">I53-I57+I58-I59+I60</f>
        <v>114.24121254719668</v>
      </c>
      <c r="J62" s="179">
        <f t="shared" si="17"/>
        <v>110.64121254719666</v>
      </c>
    </row>
    <row r="63" spans="1:10">
      <c r="C63" s="2"/>
      <c r="D63" s="2"/>
      <c r="E63" s="173"/>
      <c r="F63" s="173"/>
      <c r="G63" s="173"/>
      <c r="I63" s="2"/>
      <c r="J63" s="2"/>
    </row>
    <row r="64" spans="1:10" ht="15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</row>
    <row r="65" spans="1:10" ht="15">
      <c r="A65" s="22" t="s">
        <v>98</v>
      </c>
      <c r="B65" s="23">
        <f t="shared" ref="B65:G65" si="18">B17-B23-B51+B21+B33</f>
        <v>154.66068814250946</v>
      </c>
      <c r="C65" s="23">
        <f t="shared" si="18"/>
        <v>152.20068814250948</v>
      </c>
      <c r="D65" s="23">
        <f t="shared" si="18"/>
        <v>149.51068814250948</v>
      </c>
      <c r="E65" s="171">
        <f t="shared" si="18"/>
        <v>149.00000000000006</v>
      </c>
      <c r="F65" s="171">
        <f t="shared" si="18"/>
        <v>146.00000000000006</v>
      </c>
      <c r="G65" s="171">
        <f t="shared" si="18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</row>
  </sheetData>
  <mergeCells count="3">
    <mergeCell ref="B1:D1"/>
    <mergeCell ref="E1:G1"/>
    <mergeCell ref="H1:J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2" customWidth="1"/>
    <col min="7" max="7" width="15.625" style="3" customWidth="1"/>
    <col min="8" max="8" width="15.625" style="2" customWidth="1"/>
    <col min="9" max="9" width="15.625" style="3" customWidth="1"/>
    <col min="10" max="16384" width="9" style="3"/>
  </cols>
  <sheetData>
    <row r="1" spans="1:9" ht="14.25" customHeight="1">
      <c r="A1" s="4"/>
      <c r="B1" s="202" t="s">
        <v>114</v>
      </c>
      <c r="C1" s="202"/>
      <c r="D1" s="202" t="s">
        <v>123</v>
      </c>
      <c r="E1" s="202"/>
      <c r="F1" s="202" t="s">
        <v>128</v>
      </c>
      <c r="G1" s="202"/>
      <c r="H1" s="202" t="s">
        <v>129</v>
      </c>
      <c r="I1" s="202"/>
    </row>
    <row r="2" spans="1:9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</row>
    <row r="3" spans="1:9" ht="15">
      <c r="A3" s="8" t="s">
        <v>11</v>
      </c>
      <c r="B3" s="9">
        <v>4</v>
      </c>
      <c r="C3" s="9">
        <v>4</v>
      </c>
      <c r="D3" s="178">
        <v>4</v>
      </c>
      <c r="E3" s="178">
        <v>4</v>
      </c>
      <c r="F3" s="178">
        <v>2.6</v>
      </c>
      <c r="G3" s="178">
        <v>2.6</v>
      </c>
      <c r="H3" s="178">
        <v>4</v>
      </c>
      <c r="I3" s="178">
        <v>4</v>
      </c>
    </row>
    <row r="4" spans="1:9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</row>
    <row r="5" spans="1:9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</row>
    <row r="6" spans="1:9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</row>
    <row r="7" spans="1:9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</row>
    <row r="8" spans="1:9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</row>
    <row r="9" spans="1:9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</row>
    <row r="10" spans="1:9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</row>
    <row r="11" spans="1:9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</row>
    <row r="12" spans="1:9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</row>
    <row r="13" spans="1:9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</row>
    <row r="14" spans="1:9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</row>
    <row r="15" spans="1:9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</row>
    <row r="16" spans="1:9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</row>
    <row r="17" spans="1:9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</row>
    <row r="18" spans="1:9" ht="45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</row>
    <row r="19" spans="1:9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</row>
    <row r="20" spans="1:9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</row>
    <row r="22" spans="1:9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</row>
    <row r="23" spans="1:9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</row>
    <row r="24" spans="1:9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</row>
    <row r="25" spans="1:9" ht="15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</row>
    <row r="26" spans="1:9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</row>
    <row r="27" spans="1:9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</row>
    <row r="28" spans="1:9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</row>
    <row r="29" spans="1:9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</row>
    <row r="30" spans="1:9" ht="45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</row>
    <row r="31" spans="1:9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</row>
    <row r="32" spans="1:9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</row>
    <row r="33" spans="1:9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</row>
    <row r="34" spans="1:9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</row>
    <row r="35" spans="1:9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</row>
    <row r="36" spans="1:9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</row>
    <row r="37" spans="1:9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</row>
    <row r="38" spans="1:9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</row>
    <row r="39" spans="1:9" ht="30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</row>
    <row r="40" spans="1:9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</row>
    <row r="41" spans="1:9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</row>
    <row r="42" spans="1:9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</row>
    <row r="43" spans="1:9" ht="15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</row>
    <row r="44" spans="1:9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</row>
    <row r="45" spans="1:9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</row>
    <row r="46" spans="1:9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</row>
    <row r="47" spans="1:9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</row>
    <row r="48" spans="1:9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</row>
    <row r="50" spans="1:9" ht="30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</row>
    <row r="51" spans="1:9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</row>
    <row r="52" spans="1:9" ht="30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</row>
    <row r="53" spans="1:9" ht="30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</row>
    <row r="54" spans="1:9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</row>
    <row r="55" spans="1:9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</row>
    <row r="56" spans="1:9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</row>
    <row r="57" spans="1:9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</row>
    <row r="58" spans="1:9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</row>
    <row r="59" spans="1:9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</row>
    <row r="60" spans="1:9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</row>
    <row r="61" spans="1:9" ht="30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</row>
    <row r="62" spans="1:9" ht="30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</row>
    <row r="63" spans="1:9">
      <c r="C63" s="2"/>
      <c r="E63" s="2"/>
      <c r="G63" s="2"/>
      <c r="I63" s="2"/>
    </row>
    <row r="64" spans="1:9" ht="15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</row>
    <row r="65" spans="1:9" ht="15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5"/>
  <sheetViews>
    <sheetView workbookViewId="0">
      <pane xSplit="1" ySplit="1" topLeftCell="X2" activePane="bottomRight" state="frozen"/>
      <selection pane="topRight"/>
      <selection pane="bottomLeft"/>
      <selection pane="bottomRight" activeCell="H7" sqref="H7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8.125" style="3" customWidth="1"/>
    <col min="14" max="14" width="21.25" style="3" customWidth="1"/>
    <col min="15" max="15" width="19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2" width="15.5" style="3" customWidth="1"/>
    <col min="33" max="33" width="18.375" style="3" customWidth="1"/>
    <col min="34" max="16384" width="9" style="3"/>
  </cols>
  <sheetData>
    <row r="1" spans="1:33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114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</row>
    <row r="2" spans="1:33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</row>
    <row r="3" spans="1:3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</row>
    <row r="4" spans="1:33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</row>
    <row r="5" spans="1:33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</row>
    <row r="6" spans="1:33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</row>
    <row r="7" spans="1:33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</row>
    <row r="8" spans="1:33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</row>
    <row r="9" spans="1:33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</row>
    <row r="10" spans="1:33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</row>
    <row r="11" spans="1:33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</row>
    <row r="12" spans="1:33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</row>
    <row r="13" spans="1:33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</row>
    <row r="14" spans="1:33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</row>
    <row r="15" spans="1:33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</row>
    <row r="16" spans="1:33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G16" si="3">AE15+10*LOG10(AE4)</f>
        <v>44</v>
      </c>
      <c r="AF16" s="164">
        <f t="shared" si="3"/>
        <v>44</v>
      </c>
      <c r="AG16" s="164">
        <f t="shared" si="3"/>
        <v>44</v>
      </c>
    </row>
    <row r="17" spans="1:33" ht="30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G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</row>
    <row r="18" spans="1:33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G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</row>
    <row r="19" spans="1:33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</row>
    <row r="20" spans="1:33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</row>
    <row r="21" spans="1:33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</row>
    <row r="22" spans="1:33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</row>
    <row r="23" spans="1:33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</row>
    <row r="24" spans="1:33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</row>
    <row r="25" spans="1:33" ht="15">
      <c r="A25" s="8" t="s">
        <v>49</v>
      </c>
      <c r="B25" s="29">
        <f t="shared" ref="B25:L25" si="13">B17+B18+B21+B22-B24</f>
        <v>67.146649928625379</v>
      </c>
      <c r="C25" s="29">
        <f t="shared" si="13"/>
        <v>67.146649928625379</v>
      </c>
      <c r="D25" s="29">
        <f t="shared" si="13"/>
        <v>67.146649928625379</v>
      </c>
      <c r="E25" s="29">
        <f t="shared" si="13"/>
        <v>55.236649928625368</v>
      </c>
      <c r="F25" s="29">
        <f t="shared" si="13"/>
        <v>55.236649928625368</v>
      </c>
      <c r="G25" s="73">
        <f t="shared" si="13"/>
        <v>58.146649928625372</v>
      </c>
      <c r="H25" s="73">
        <f t="shared" si="13"/>
        <v>58.146649928625372</v>
      </c>
      <c r="I25" s="73">
        <f t="shared" si="13"/>
        <v>58.146649928625372</v>
      </c>
      <c r="J25" s="13">
        <f t="shared" si="13"/>
        <v>67.548149711824436</v>
      </c>
      <c r="K25" s="13">
        <f t="shared" si="13"/>
        <v>67.548149711824436</v>
      </c>
      <c r="L25" s="13">
        <f t="shared" si="13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58.146649928625372</v>
      </c>
      <c r="T25" s="166">
        <f t="shared" si="14"/>
        <v>58.146649928625372</v>
      </c>
      <c r="U25" s="166">
        <f t="shared" si="14"/>
        <v>58.146649928625372</v>
      </c>
      <c r="V25" s="166">
        <f t="shared" ref="V25:AA25" si="15">V17+V18+V21+V22-V24</f>
        <v>67.146649928625379</v>
      </c>
      <c r="W25" s="166">
        <f t="shared" si="15"/>
        <v>67.146649928625379</v>
      </c>
      <c r="X25" s="166">
        <f t="shared" si="15"/>
        <v>67.146649928625379</v>
      </c>
      <c r="Y25" s="166">
        <f t="shared" si="15"/>
        <v>58.146649928625372</v>
      </c>
      <c r="Z25" s="166">
        <f t="shared" si="15"/>
        <v>58.146649928625372</v>
      </c>
      <c r="AA25" s="166">
        <f t="shared" si="15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G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</row>
    <row r="26" spans="1:33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</row>
    <row r="27" spans="1:33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</row>
    <row r="28" spans="1:33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</row>
    <row r="29" spans="1:33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</row>
    <row r="30" spans="1:33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03">
        <v>0</v>
      </c>
      <c r="N30" s="103">
        <v>-3</v>
      </c>
      <c r="O30" s="103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G30" si="20">AE31+10*LOG10(AE28/AE29)-AE32</f>
        <v>0</v>
      </c>
      <c r="AF30" s="164">
        <f t="shared" si="20"/>
        <v>-3</v>
      </c>
      <c r="AG30" s="164">
        <f t="shared" si="20"/>
        <v>-3</v>
      </c>
    </row>
    <row r="31" spans="1:33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</row>
    <row r="32" spans="1:33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</row>
    <row r="33" spans="1:33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</row>
    <row r="34" spans="1:33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</row>
    <row r="35" spans="1:33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</row>
    <row r="36" spans="1:33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</row>
    <row r="37" spans="1:33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</row>
    <row r="38" spans="1:33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</row>
    <row r="39" spans="1:33" ht="30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G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</row>
    <row r="40" spans="1:33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</row>
    <row r="41" spans="1:33" ht="15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G41" si="28">48*360*1000</f>
        <v>17280000</v>
      </c>
      <c r="AF41" s="164">
        <f t="shared" si="28"/>
        <v>17280000</v>
      </c>
      <c r="AG41" s="164">
        <f t="shared" si="28"/>
        <v>17280000</v>
      </c>
    </row>
    <row r="42" spans="1:33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</row>
    <row r="43" spans="1:33" ht="15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G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</row>
    <row r="44" spans="1:33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</row>
    <row r="45" spans="1:33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</row>
    <row r="46" spans="1:33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</row>
    <row r="47" spans="1:33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</row>
    <row r="48" spans="1:33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</row>
    <row r="49" spans="1:33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</row>
    <row r="50" spans="1:33" ht="30">
      <c r="A50" s="8" t="s">
        <v>80</v>
      </c>
      <c r="B50" s="29">
        <f t="shared" ref="B50:L50" si="33">B43+B45+B47-B48</f>
        <v>-103.92456261857129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-102.82456261857129</v>
      </c>
      <c r="Z50" s="166">
        <f t="shared" si="35"/>
        <v>-99.824562618571292</v>
      </c>
      <c r="AA50" s="166">
        <f t="shared" si="35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G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</row>
    <row r="51" spans="1:33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</row>
    <row r="52" spans="1:33" ht="30">
      <c r="A52" s="22" t="s">
        <v>83</v>
      </c>
      <c r="B52" s="37">
        <f t="shared" ref="B52:G52" si="37">B25+B30+B33-B34-B50</f>
        <v>170.07121254719667</v>
      </c>
      <c r="C52" s="37">
        <f t="shared" si="37"/>
        <v>164.07121254719667</v>
      </c>
      <c r="D52" s="37">
        <f t="shared" si="37"/>
        <v>160.57121254719667</v>
      </c>
      <c r="E52" s="37">
        <f t="shared" si="37"/>
        <v>158.22121254719667</v>
      </c>
      <c r="F52" s="37">
        <f t="shared" si="37"/>
        <v>148.99121254719665</v>
      </c>
      <c r="G52" s="78">
        <f t="shared" si="37"/>
        <v>162.45121254719666</v>
      </c>
      <c r="H52" s="78">
        <f t="shared" ref="H52:L52" si="38">H25+H30+H33-H34-H50</f>
        <v>156.15121254719665</v>
      </c>
      <c r="I52" s="78">
        <f t="shared" si="38"/>
        <v>152.18121254719665</v>
      </c>
      <c r="J52" s="23">
        <f t="shared" si="38"/>
        <v>165.6619006897061</v>
      </c>
      <c r="K52" s="23">
        <f t="shared" si="38"/>
        <v>160.02190068970609</v>
      </c>
      <c r="L52" s="23">
        <f t="shared" si="38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160.78121254719667</v>
      </c>
      <c r="T52" s="171">
        <f t="shared" ref="T52:U52" si="40">T25+T30+T33-T34-T50</f>
        <v>154.85121254719667</v>
      </c>
      <c r="U52" s="171">
        <f t="shared" si="40"/>
        <v>151.57121254719667</v>
      </c>
      <c r="V52" s="171">
        <f>V25+V30+V33-V34-V50</f>
        <v>168.01040090650702</v>
      </c>
      <c r="W52" s="171">
        <f t="shared" ref="W52:X52" si="41">W25+W30+W33-W34-W50</f>
        <v>162.03040090650703</v>
      </c>
      <c r="X52" s="171">
        <f t="shared" si="41"/>
        <v>158.54040090650705</v>
      </c>
      <c r="Y52" s="171">
        <f>Y25+Y30+Y33-Y34-Y50</f>
        <v>159.97121254719667</v>
      </c>
      <c r="Z52" s="171">
        <f t="shared" ref="Z52:AA52" si="42">Z25+Z30+Z33-Z34-Z50</f>
        <v>153.97121254719667</v>
      </c>
      <c r="AA52" s="171">
        <f t="shared" si="42"/>
        <v>150.97121254719667</v>
      </c>
      <c r="AB52" s="179">
        <f>AB25+AB30+AB33-AB34-AB50</f>
        <v>152.97121254719667</v>
      </c>
      <c r="AC52" s="179">
        <f t="shared" ref="AC52:AD52" si="43">AC25+AC30+AC33-AC34-AC50</f>
        <v>146.77121254719665</v>
      </c>
      <c r="AD52" s="179">
        <f t="shared" si="43"/>
        <v>143.77121254719665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</row>
    <row r="53" spans="1:33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</row>
    <row r="54" spans="1:33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</row>
    <row r="55" spans="1:33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</row>
    <row r="56" spans="1:33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</row>
    <row r="57" spans="1:33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</row>
    <row r="58" spans="1:33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</row>
    <row r="59" spans="1:33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</row>
    <row r="60" spans="1:33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</row>
    <row r="61" spans="1:33" ht="30">
      <c r="A61" s="22" t="s">
        <v>108</v>
      </c>
      <c r="B61" s="37">
        <f t="shared" ref="B61:G61" si="45">B52-B56+B58-B59+B60</f>
        <v>136.26121254719666</v>
      </c>
      <c r="C61" s="37">
        <f t="shared" si="45"/>
        <v>130.26121254719666</v>
      </c>
      <c r="D61" s="37">
        <f t="shared" si="45"/>
        <v>126.76121254719666</v>
      </c>
      <c r="E61" s="37">
        <f t="shared" si="45"/>
        <v>124.41121254719667</v>
      </c>
      <c r="F61" s="37">
        <f t="shared" si="45"/>
        <v>115.18121254719665</v>
      </c>
      <c r="G61" s="78">
        <f t="shared" si="45"/>
        <v>128.64121254719666</v>
      </c>
      <c r="H61" s="78">
        <f t="shared" ref="H61:L61" si="46">H52-H56+H58-H59+H60</f>
        <v>122.34121254719665</v>
      </c>
      <c r="I61" s="78">
        <f t="shared" si="46"/>
        <v>118.37121254719665</v>
      </c>
      <c r="J61" s="23">
        <f t="shared" si="46"/>
        <v>131.8519006897061</v>
      </c>
      <c r="K61" s="23">
        <f t="shared" si="46"/>
        <v>126.21190068970608</v>
      </c>
      <c r="L61" s="23">
        <f t="shared" si="46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47">Q52-Q56+Q58-Q59+Q60</f>
        <v>128.680400906507</v>
      </c>
      <c r="R61" s="171">
        <f t="shared" si="47"/>
        <v>124.680400906507</v>
      </c>
      <c r="S61" s="171">
        <f>S52-S56+S58-S59+S60</f>
        <v>126.97121254719667</v>
      </c>
      <c r="T61" s="171">
        <f t="shared" ref="T61:U61" si="48">T52-T56+T58-T59+T60</f>
        <v>121.04121254719666</v>
      </c>
      <c r="U61" s="171">
        <f t="shared" si="48"/>
        <v>117.76121254719666</v>
      </c>
      <c r="V61" s="171">
        <f>V52-V56+V58-V59+V60</f>
        <v>134.20040090650701</v>
      </c>
      <c r="W61" s="171">
        <f t="shared" ref="W61:X61" si="49">W52-W56+W58-W59+W60</f>
        <v>128.22040090650702</v>
      </c>
      <c r="X61" s="171">
        <f t="shared" si="49"/>
        <v>124.73040090650704</v>
      </c>
      <c r="Y61" s="171">
        <f>Y52-Y56+Y58-Y59+Y60</f>
        <v>126.16121254719667</v>
      </c>
      <c r="Z61" s="171">
        <f t="shared" ref="Z61:AA61" si="50">Z52-Z56+Z58-Z59+Z60</f>
        <v>120.16121254719667</v>
      </c>
      <c r="AA61" s="171">
        <f t="shared" si="50"/>
        <v>117.16121254719667</v>
      </c>
      <c r="AB61" s="179">
        <f>AB52-AB56+AB58-AB59+AB60</f>
        <v>119.16121254719667</v>
      </c>
      <c r="AC61" s="179">
        <f t="shared" ref="AC61:AD61" si="51">AC52-AC56+AC58-AC59+AC60</f>
        <v>112.96121254719665</v>
      </c>
      <c r="AD61" s="179">
        <f t="shared" si="51"/>
        <v>109.96121254719665</v>
      </c>
      <c r="AE61" s="171">
        <f>AE52-AE56+AE58-AE59+AE60</f>
        <v>125.66121254719667</v>
      </c>
      <c r="AF61" s="171">
        <f t="shared" ref="AF61:AG61" si="52">AF52-AF56+AF58-AF59+AF60</f>
        <v>119.96121254719665</v>
      </c>
      <c r="AG61" s="171">
        <f t="shared" si="52"/>
        <v>116.76121254719666</v>
      </c>
    </row>
    <row r="62" spans="1:33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</row>
    <row r="63" spans="1:33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</row>
    <row r="64" spans="1:33" ht="15">
      <c r="A64" s="22" t="s">
        <v>97</v>
      </c>
      <c r="B64" s="37">
        <f t="shared" ref="B64:L64" si="53">B17+B22-B50+B21+B33</f>
        <v>161.30000000000004</v>
      </c>
      <c r="C64" s="37">
        <f t="shared" si="53"/>
        <v>158.30000000000004</v>
      </c>
      <c r="D64" s="37">
        <f t="shared" si="53"/>
        <v>154.80000000000004</v>
      </c>
      <c r="E64" s="37">
        <f t="shared" si="53"/>
        <v>152.40000000000003</v>
      </c>
      <c r="F64" s="37">
        <f t="shared" si="53"/>
        <v>146.17000000000002</v>
      </c>
      <c r="G64" s="78">
        <f t="shared" si="53"/>
        <v>153.68000000000004</v>
      </c>
      <c r="H64" s="78">
        <f t="shared" si="53"/>
        <v>150.38000000000002</v>
      </c>
      <c r="I64" s="78">
        <f t="shared" si="53"/>
        <v>146.41000000000003</v>
      </c>
      <c r="J64" s="23">
        <f t="shared" si="53"/>
        <v>159.54068814250945</v>
      </c>
      <c r="K64" s="23">
        <f t="shared" si="53"/>
        <v>156.90068814250947</v>
      </c>
      <c r="L64" s="23">
        <f t="shared" si="53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54">P17+P22-P50+P21+P33</f>
        <v>159.6391883593104</v>
      </c>
      <c r="Q64" s="171">
        <f t="shared" si="54"/>
        <v>156.73918835931042</v>
      </c>
      <c r="R64" s="171">
        <f t="shared" si="54"/>
        <v>152.73918835931042</v>
      </c>
      <c r="S64" s="171">
        <f t="shared" si="54"/>
        <v>152.01000000000005</v>
      </c>
      <c r="T64" s="171">
        <f t="shared" si="54"/>
        <v>149.08000000000004</v>
      </c>
      <c r="U64" s="171">
        <f t="shared" si="54"/>
        <v>145.80000000000004</v>
      </c>
      <c r="V64" s="171">
        <f t="shared" ref="V64:AA64" si="55">V17+V22-V50+V21+V33</f>
        <v>159.23918835931039</v>
      </c>
      <c r="W64" s="171">
        <f t="shared" si="55"/>
        <v>156.2591883593104</v>
      </c>
      <c r="X64" s="171">
        <f t="shared" si="55"/>
        <v>152.76918835931039</v>
      </c>
      <c r="Y64" s="171">
        <f t="shared" si="55"/>
        <v>151.20000000000005</v>
      </c>
      <c r="Z64" s="171">
        <f t="shared" si="55"/>
        <v>148.20000000000005</v>
      </c>
      <c r="AA64" s="171">
        <f t="shared" si="55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G64" si="56">AE17+AE22-AE50+AE21+AE33</f>
        <v>150.70000000000005</v>
      </c>
      <c r="AF64" s="171">
        <f t="shared" si="56"/>
        <v>148.00000000000003</v>
      </c>
      <c r="AG64" s="171">
        <f t="shared" si="56"/>
        <v>144.80000000000004</v>
      </c>
    </row>
    <row r="65" spans="1:33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5"/>
  <sheetViews>
    <sheetView workbookViewId="0">
      <pane xSplit="1" ySplit="1" topLeftCell="AD59" activePane="bottomRight" state="frozen"/>
      <selection pane="topRight"/>
      <selection pane="bottomLeft"/>
      <selection pane="bottomRight" activeCell="AD3" sqref="AD3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4.75" style="3" customWidth="1"/>
    <col min="14" max="14" width="15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7.125" style="3" customWidth="1"/>
    <col min="32" max="32" width="15.375" style="3" customWidth="1"/>
    <col min="33" max="33" width="16.625" style="3" customWidth="1"/>
    <col min="34" max="34" width="15.625" style="2" customWidth="1"/>
    <col min="35" max="36" width="15.625" style="3" customWidth="1"/>
    <col min="37" max="16384" width="9" style="3"/>
  </cols>
  <sheetData>
    <row r="1" spans="1:36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  <c r="AH1" s="202" t="s">
        <v>131</v>
      </c>
      <c r="AI1" s="202"/>
      <c r="AJ1" s="202"/>
    </row>
    <row r="2" spans="1:36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</row>
    <row r="3" spans="1:36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</row>
    <row r="4" spans="1:36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</row>
    <row r="5" spans="1:36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</row>
    <row r="6" spans="1:36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  <c r="AH6" s="178">
        <v>10000000</v>
      </c>
      <c r="AI6" s="178">
        <v>2000000</v>
      </c>
      <c r="AJ6" s="178">
        <v>2000000</v>
      </c>
    </row>
    <row r="7" spans="1:36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  <c r="AH7" s="183" t="s">
        <v>16</v>
      </c>
      <c r="AI7" s="183" t="s">
        <v>16</v>
      </c>
      <c r="AJ7" s="183" t="s">
        <v>16</v>
      </c>
    </row>
    <row r="8" spans="1:36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  <c r="AH8" s="181">
        <v>0.1</v>
      </c>
      <c r="AI8" s="181">
        <v>0.1</v>
      </c>
      <c r="AJ8" s="181">
        <v>0.1</v>
      </c>
    </row>
    <row r="9" spans="1:36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</row>
    <row r="10" spans="1:36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</row>
    <row r="11" spans="1:36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77"/>
      <c r="AI11" s="177"/>
      <c r="AJ11" s="177"/>
    </row>
    <row r="12" spans="1:36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</row>
    <row r="13" spans="1:36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</row>
    <row r="14" spans="1:36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</row>
    <row r="15" spans="1:36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204">
        <v>24</v>
      </c>
      <c r="AI15" s="204">
        <v>24</v>
      </c>
      <c r="AJ15" s="204">
        <v>24</v>
      </c>
    </row>
    <row r="16" spans="1:36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J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</row>
    <row r="17" spans="1:36" ht="30">
      <c r="A17" s="8" t="s">
        <v>35</v>
      </c>
      <c r="B17" s="29">
        <f t="shared" ref="B17:L17" si="4">B15+10*LOG10(B42/1000000)</f>
        <v>47.80581786829169</v>
      </c>
      <c r="C17" s="29">
        <f t="shared" si="4"/>
        <v>41.57332496431269</v>
      </c>
      <c r="D17" s="29">
        <f t="shared" si="4"/>
        <v>41.57332496431269</v>
      </c>
      <c r="E17" s="29">
        <f t="shared" si="4"/>
        <v>43.47237607870666</v>
      </c>
      <c r="F17" s="29">
        <f t="shared" si="4"/>
        <v>35.997551772534749</v>
      </c>
      <c r="G17" s="73">
        <f t="shared" si="4"/>
        <v>42.57332496431269</v>
      </c>
      <c r="H17" s="73">
        <f t="shared" si="4"/>
        <v>36.638726768652234</v>
      </c>
      <c r="I17" s="73">
        <f t="shared" si="4"/>
        <v>36.638726768652234</v>
      </c>
      <c r="J17" s="13">
        <f t="shared" si="4"/>
        <v>48.816083660320572</v>
      </c>
      <c r="K17" s="13">
        <f t="shared" si="4"/>
        <v>42.365137424788934</v>
      </c>
      <c r="L17" s="13">
        <f t="shared" si="4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5">P15+10*LOG10(P42/1000000)</f>
        <v>52.924651478080435</v>
      </c>
      <c r="Q17" s="164">
        <f t="shared" si="5"/>
        <v>45.638726768652234</v>
      </c>
      <c r="R17" s="164">
        <f t="shared" si="5"/>
        <v>45.638726768652234</v>
      </c>
      <c r="S17" s="166">
        <f t="shared" si="5"/>
        <v>43.542425094393252</v>
      </c>
      <c r="T17" s="166">
        <f t="shared" si="5"/>
        <v>36.552725051033065</v>
      </c>
      <c r="U17" s="166">
        <f t="shared" si="5"/>
        <v>36.552725051033065</v>
      </c>
      <c r="V17" s="166">
        <f t="shared" ref="V17:AA17" si="6">V15+10*LOG10(V42/1000000)</f>
        <v>52.892717916416927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42.57332496431269</v>
      </c>
      <c r="Z17" s="166">
        <f t="shared" si="6"/>
        <v>36.638726768652234</v>
      </c>
      <c r="AA17" s="166">
        <f t="shared" si="6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J17" si="7">AE15+10*LOG10(AE42/1000000)</f>
        <v>43.310508467773914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43.507541815935035</v>
      </c>
      <c r="AI17" s="178">
        <f t="shared" si="7"/>
        <v>36.638726768652234</v>
      </c>
      <c r="AJ17" s="178">
        <f t="shared" si="7"/>
        <v>36.638726768652234</v>
      </c>
    </row>
    <row r="18" spans="1:36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J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</row>
    <row r="19" spans="1:36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</row>
    <row r="20" spans="1:36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</row>
    <row r="21" spans="1:36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82">
        <v>12</v>
      </c>
      <c r="AI21" s="182">
        <v>12</v>
      </c>
      <c r="AJ21" s="182">
        <v>12</v>
      </c>
    </row>
    <row r="22" spans="1:36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</row>
    <row r="23" spans="1:36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</row>
    <row r="24" spans="1:36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</row>
    <row r="25" spans="1:36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  <c r="AH25" s="183" t="s">
        <v>16</v>
      </c>
      <c r="AI25" s="183" t="s">
        <v>16</v>
      </c>
      <c r="AJ25" s="183" t="s">
        <v>16</v>
      </c>
    </row>
    <row r="26" spans="1:36" ht="15">
      <c r="A26" s="8" t="s">
        <v>51</v>
      </c>
      <c r="B26" s="29">
        <f t="shared" ref="B26:L26" si="13">B17+B18+B21-B23-B24</f>
        <v>69.577030415488309</v>
      </c>
      <c r="C26" s="29">
        <f t="shared" si="13"/>
        <v>63.344537511509316</v>
      </c>
      <c r="D26" s="29">
        <f t="shared" si="13"/>
        <v>63.344537511509316</v>
      </c>
      <c r="E26" s="29">
        <f t="shared" si="13"/>
        <v>62.333588625903275</v>
      </c>
      <c r="F26" s="29">
        <f t="shared" si="13"/>
        <v>54.858764319731371</v>
      </c>
      <c r="G26" s="73">
        <f t="shared" si="13"/>
        <v>64.344537511509316</v>
      </c>
      <c r="H26" s="73">
        <f t="shared" si="13"/>
        <v>58.40993931584886</v>
      </c>
      <c r="I26" s="73">
        <f t="shared" si="13"/>
        <v>58.40993931584886</v>
      </c>
      <c r="J26" s="13">
        <f t="shared" si="13"/>
        <v>70.988795990716255</v>
      </c>
      <c r="K26" s="13">
        <f t="shared" si="13"/>
        <v>64.537849755184624</v>
      </c>
      <c r="L26" s="13">
        <f t="shared" si="13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4">P17+P18+P21-P23-P24</f>
        <v>77.745864025277058</v>
      </c>
      <c r="Q26" s="164">
        <f t="shared" si="14"/>
        <v>70.459939315848857</v>
      </c>
      <c r="R26" s="164">
        <f t="shared" si="14"/>
        <v>70.459939315848857</v>
      </c>
      <c r="S26" s="166">
        <f t="shared" si="14"/>
        <v>65.313637641589878</v>
      </c>
      <c r="T26" s="166">
        <f t="shared" si="14"/>
        <v>58.323937598229691</v>
      </c>
      <c r="U26" s="166">
        <f t="shared" si="14"/>
        <v>58.323937598229691</v>
      </c>
      <c r="V26" s="166">
        <f t="shared" ref="V26:AA26" si="15">V17+V18+V21-V23-V24</f>
        <v>74.663930463613553</v>
      </c>
      <c r="W26" s="166">
        <f t="shared" si="15"/>
        <v>67.146649928625379</v>
      </c>
      <c r="X26" s="166">
        <f t="shared" si="15"/>
        <v>67.146649928625379</v>
      </c>
      <c r="Y26" s="166">
        <f t="shared" si="15"/>
        <v>64.344537511509316</v>
      </c>
      <c r="Z26" s="166">
        <f t="shared" si="15"/>
        <v>58.40993931584886</v>
      </c>
      <c r="AA26" s="166">
        <f t="shared" si="15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J26" si="16">AE17+AE18+AE21-AE23-AE24</f>
        <v>65.08172101497054</v>
      </c>
      <c r="AF26" s="164">
        <f t="shared" si="16"/>
        <v>58.146649928625372</v>
      </c>
      <c r="AG26" s="164">
        <f t="shared" si="16"/>
        <v>58.146649928625372</v>
      </c>
      <c r="AH26" s="178">
        <f t="shared" si="16"/>
        <v>65.278754363131668</v>
      </c>
      <c r="AI26" s="178">
        <f t="shared" si="16"/>
        <v>58.40993931584886</v>
      </c>
      <c r="AJ26" s="178">
        <f t="shared" si="16"/>
        <v>58.40993931584886</v>
      </c>
    </row>
    <row r="27" spans="1:36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</row>
    <row r="28" spans="1:36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</row>
    <row r="29" spans="1:36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</row>
    <row r="30" spans="1:36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16">
        <v>0</v>
      </c>
      <c r="N30" s="116">
        <v>-3</v>
      </c>
      <c r="O30" s="11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J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</row>
    <row r="31" spans="1:36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</row>
    <row r="32" spans="1:36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</row>
    <row r="33" spans="1:36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</row>
    <row r="34" spans="1:36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</row>
    <row r="35" spans="1:36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</row>
    <row r="36" spans="1:36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</row>
    <row r="37" spans="1:36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  <c r="AH37" s="178" t="s">
        <v>16</v>
      </c>
      <c r="AI37" s="178" t="s">
        <v>16</v>
      </c>
      <c r="AJ37" s="178" t="s">
        <v>16</v>
      </c>
    </row>
    <row r="38" spans="1:36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  <c r="AH38" s="186">
        <v>-164.99</v>
      </c>
      <c r="AI38" s="186">
        <v>-164.99</v>
      </c>
      <c r="AJ38" s="186">
        <v>-164.99</v>
      </c>
    </row>
    <row r="39" spans="1:36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  <c r="AH39" s="183" t="s">
        <v>16</v>
      </c>
      <c r="AI39" s="183" t="s">
        <v>16</v>
      </c>
      <c r="AJ39" s="183" t="s">
        <v>16</v>
      </c>
    </row>
    <row r="40" spans="1:36" ht="30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J40" si="24">10*LOG10(10^((AE35+AE36)/10)+10^(AE38/10))</f>
        <v>-167.00000000000003</v>
      </c>
      <c r="AF40" s="164">
        <f t="shared" si="24"/>
        <v>-167.00000000000003</v>
      </c>
      <c r="AG40" s="164">
        <f t="shared" si="24"/>
        <v>-167.00000000000003</v>
      </c>
      <c r="AH40" s="178">
        <f t="shared" si="24"/>
        <v>-162.86943987346325</v>
      </c>
      <c r="AI40" s="178">
        <f t="shared" si="24"/>
        <v>-162.86943987346325</v>
      </c>
      <c r="AJ40" s="178">
        <f t="shared" si="24"/>
        <v>-162.86943987346325</v>
      </c>
    </row>
    <row r="41" spans="1:36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  <c r="AH41" s="178" t="s">
        <v>16</v>
      </c>
      <c r="AI41" s="178" t="s">
        <v>16</v>
      </c>
      <c r="AJ41" s="178" t="s">
        <v>16</v>
      </c>
    </row>
    <row r="42" spans="1:36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237*360*1000</f>
        <v>85320000</v>
      </c>
      <c r="AF42" s="169">
        <f>48*360*1000</f>
        <v>17280000</v>
      </c>
      <c r="AG42" s="169">
        <f>48*360*1000</f>
        <v>17280000</v>
      </c>
      <c r="AH42" s="182">
        <f>248*360*1000</f>
        <v>89280000</v>
      </c>
      <c r="AI42" s="182">
        <f>51*360*1000</f>
        <v>18360000</v>
      </c>
      <c r="AJ42" s="182">
        <f>51*360*1000</f>
        <v>18360000</v>
      </c>
    </row>
    <row r="43" spans="1:36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  <c r="AH43" s="178" t="s">
        <v>16</v>
      </c>
      <c r="AI43" s="178" t="s">
        <v>16</v>
      </c>
      <c r="AJ43" s="178" t="s">
        <v>16</v>
      </c>
    </row>
    <row r="44" spans="1:36" ht="15">
      <c r="A44" s="8" t="s">
        <v>72</v>
      </c>
      <c r="B44" s="29">
        <f t="shared" ref="B44:L44" si="25">B40+10*LOG10(B42)</f>
        <v>-92.194182131708345</v>
      </c>
      <c r="C44" s="29">
        <f t="shared" si="25"/>
        <v>-98.426675035687353</v>
      </c>
      <c r="D44" s="29">
        <f t="shared" si="25"/>
        <v>-98.426675035687353</v>
      </c>
      <c r="E44" s="29">
        <f t="shared" si="25"/>
        <v>-87.527623921293369</v>
      </c>
      <c r="F44" s="29">
        <f t="shared" si="25"/>
        <v>-95.00244822746528</v>
      </c>
      <c r="G44" s="73">
        <f t="shared" si="25"/>
        <v>-88.426675035687353</v>
      </c>
      <c r="H44" s="73">
        <f t="shared" si="25"/>
        <v>-94.361273231347795</v>
      </c>
      <c r="I44" s="73">
        <f t="shared" si="25"/>
        <v>-94.361273231347795</v>
      </c>
      <c r="J44" s="13">
        <f t="shared" si="25"/>
        <v>-89.173104698989818</v>
      </c>
      <c r="K44" s="13">
        <f t="shared" si="25"/>
        <v>-95.624050934521463</v>
      </c>
      <c r="L44" s="13">
        <f t="shared" si="25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6">P40+10*LOG10(P42)</f>
        <v>-85.064536881229955</v>
      </c>
      <c r="Q44" s="164">
        <f t="shared" si="26"/>
        <v>-92.350461590658156</v>
      </c>
      <c r="R44" s="164">
        <f t="shared" si="26"/>
        <v>-92.350461590658156</v>
      </c>
      <c r="S44" s="166">
        <f t="shared" si="26"/>
        <v>-87.457574905606776</v>
      </c>
      <c r="T44" s="166">
        <f t="shared" si="26"/>
        <v>-94.447274948966964</v>
      </c>
      <c r="U44" s="166">
        <f t="shared" si="26"/>
        <v>-94.447274948966964</v>
      </c>
      <c r="V44" s="166">
        <f t="shared" ref="V44:AA44" si="27">V40+10*LOG10(V42)</f>
        <v>-85.096470442893462</v>
      </c>
      <c r="W44" s="166">
        <f t="shared" si="27"/>
        <v>-92.613750977881651</v>
      </c>
      <c r="X44" s="166">
        <f t="shared" si="27"/>
        <v>-92.613750977881651</v>
      </c>
      <c r="Y44" s="166">
        <f t="shared" si="27"/>
        <v>-88.426675035687353</v>
      </c>
      <c r="Z44" s="166">
        <f t="shared" si="27"/>
        <v>-94.361273231347795</v>
      </c>
      <c r="AA44" s="166">
        <f t="shared" si="27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J44" si="28">AE40+10*LOG10(AE42)</f>
        <v>-87.689491532226114</v>
      </c>
      <c r="AF44" s="164">
        <f t="shared" si="28"/>
        <v>-94.624562618571289</v>
      </c>
      <c r="AG44" s="164">
        <f t="shared" si="28"/>
        <v>-94.624562618571289</v>
      </c>
      <c r="AH44" s="178">
        <f t="shared" si="28"/>
        <v>-83.361898057528208</v>
      </c>
      <c r="AI44" s="178">
        <f t="shared" si="28"/>
        <v>-90.230713104811016</v>
      </c>
      <c r="AJ44" s="178">
        <f t="shared" si="28"/>
        <v>-90.230713104811016</v>
      </c>
    </row>
    <row r="45" spans="1:36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  <c r="AH45" s="178" t="s">
        <v>16</v>
      </c>
      <c r="AI45" s="178" t="s">
        <v>16</v>
      </c>
      <c r="AJ45" s="178" t="s">
        <v>16</v>
      </c>
    </row>
    <row r="46" spans="1:36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-7.87</v>
      </c>
      <c r="AF46" s="169">
        <v>-5.2</v>
      </c>
      <c r="AG46" s="169">
        <v>-2.23</v>
      </c>
      <c r="AH46" s="182">
        <v>-5.7</v>
      </c>
      <c r="AI46" s="182">
        <v>-3</v>
      </c>
      <c r="AJ46" s="182">
        <v>0.2</v>
      </c>
    </row>
    <row r="47" spans="1:36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</row>
    <row r="48" spans="1:36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  <c r="AH48" s="178" t="s">
        <v>16</v>
      </c>
      <c r="AI48" s="178" t="s">
        <v>16</v>
      </c>
      <c r="AJ48" s="178" t="s">
        <v>16</v>
      </c>
    </row>
    <row r="49" spans="1:36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  <c r="AH49" s="178">
        <v>0</v>
      </c>
      <c r="AI49" s="178">
        <v>0</v>
      </c>
      <c r="AJ49" s="178">
        <v>0</v>
      </c>
    </row>
    <row r="50" spans="1:36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  <c r="AH50" s="183" t="s">
        <v>16</v>
      </c>
      <c r="AI50" s="183" t="s">
        <v>16</v>
      </c>
      <c r="AJ50" s="183" t="s">
        <v>16</v>
      </c>
    </row>
    <row r="51" spans="1:36" ht="30">
      <c r="A51" s="8" t="s">
        <v>82</v>
      </c>
      <c r="B51" s="29">
        <f t="shared" ref="B51:L51" si="29">B44+B46+B47-B49</f>
        <v>-93.994182131708342</v>
      </c>
      <c r="C51" s="29">
        <f t="shared" si="29"/>
        <v>-97.526675035687347</v>
      </c>
      <c r="D51" s="29">
        <f t="shared" si="29"/>
        <v>-92.826675035687359</v>
      </c>
      <c r="E51" s="29">
        <f t="shared" si="29"/>
        <v>-95.957623921293361</v>
      </c>
      <c r="F51" s="29">
        <f t="shared" si="29"/>
        <v>-100.76244822746528</v>
      </c>
      <c r="G51" s="73">
        <f t="shared" si="29"/>
        <v>-95.516675035687356</v>
      </c>
      <c r="H51" s="73">
        <f t="shared" si="29"/>
        <v>-100.10127323134779</v>
      </c>
      <c r="I51" s="73">
        <f t="shared" si="29"/>
        <v>-97.511273231347801</v>
      </c>
      <c r="J51" s="13">
        <f t="shared" si="29"/>
        <v>-91.87310469898982</v>
      </c>
      <c r="K51" s="13">
        <f t="shared" si="29"/>
        <v>-94.704050934521462</v>
      </c>
      <c r="L51" s="13">
        <f t="shared" si="29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0">P44+P46+P47-P49</f>
        <v>-88.564536881229955</v>
      </c>
      <c r="Q51" s="164">
        <f t="shared" si="30"/>
        <v>-92.150461590658153</v>
      </c>
      <c r="R51" s="164">
        <f t="shared" si="30"/>
        <v>-88.350461590658156</v>
      </c>
      <c r="S51" s="166">
        <f t="shared" si="30"/>
        <v>-93.207574905606776</v>
      </c>
      <c r="T51" s="166">
        <f t="shared" si="30"/>
        <v>-96.457274948966969</v>
      </c>
      <c r="U51" s="166">
        <f t="shared" si="30"/>
        <v>-92.447274948966964</v>
      </c>
      <c r="V51" s="166">
        <f t="shared" ref="V51:AA51" si="31">V44+V46+V47-V49</f>
        <v>-90.566470442893461</v>
      </c>
      <c r="W51" s="166">
        <f t="shared" si="31"/>
        <v>-93.753750977881651</v>
      </c>
      <c r="X51" s="166">
        <f t="shared" si="31"/>
        <v>-89.913750977881648</v>
      </c>
      <c r="Y51" s="166">
        <f t="shared" si="31"/>
        <v>-94.426675035687353</v>
      </c>
      <c r="Z51" s="166">
        <f t="shared" si="31"/>
        <v>-97.361273231347795</v>
      </c>
      <c r="AA51" s="166">
        <f t="shared" si="31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J51" si="32">AE44+AE46+AE47-AE49</f>
        <v>-93.559491532226119</v>
      </c>
      <c r="AF51" s="164">
        <f t="shared" si="32"/>
        <v>-97.824562618571292</v>
      </c>
      <c r="AG51" s="164">
        <f t="shared" si="32"/>
        <v>-94.854562618571293</v>
      </c>
      <c r="AH51" s="178">
        <f t="shared" si="32"/>
        <v>-87.061898057528211</v>
      </c>
      <c r="AI51" s="178">
        <f t="shared" si="32"/>
        <v>-91.230713104811016</v>
      </c>
      <c r="AJ51" s="178">
        <f t="shared" si="32"/>
        <v>-88.030713104811014</v>
      </c>
    </row>
    <row r="52" spans="1:36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  <c r="AH52" s="195" t="s">
        <v>16</v>
      </c>
      <c r="AI52" s="195" t="s">
        <v>16</v>
      </c>
      <c r="AJ52" s="195" t="s">
        <v>16</v>
      </c>
    </row>
    <row r="53" spans="1:36" ht="30">
      <c r="A53" s="22" t="s">
        <v>85</v>
      </c>
      <c r="B53" s="37">
        <f t="shared" ref="B53:G53" si="33">B26+B30+B33-B34-B51</f>
        <v>162.57121254719664</v>
      </c>
      <c r="C53" s="37">
        <f t="shared" si="33"/>
        <v>156.87121254719665</v>
      </c>
      <c r="D53" s="37">
        <f t="shared" si="33"/>
        <v>152.17121254719666</v>
      </c>
      <c r="E53" s="37">
        <f t="shared" si="33"/>
        <v>157.29121254719664</v>
      </c>
      <c r="F53" s="37">
        <f t="shared" si="33"/>
        <v>151.62121254719665</v>
      </c>
      <c r="G53" s="78">
        <f t="shared" si="33"/>
        <v>158.86121254719666</v>
      </c>
      <c r="H53" s="78">
        <f t="shared" ref="H53:L53" si="34">H26+H30+H33-H34-H51</f>
        <v>154.51121254719664</v>
      </c>
      <c r="I53" s="78">
        <f t="shared" si="34"/>
        <v>151.92121254719666</v>
      </c>
      <c r="J53" s="23">
        <f t="shared" si="34"/>
        <v>161.86190068970609</v>
      </c>
      <c r="K53" s="23">
        <f t="shared" si="34"/>
        <v>155.24190068970609</v>
      </c>
      <c r="L53" s="23">
        <f t="shared" si="34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35">Q26+Q30+Q33-Q34-Q51</f>
        <v>158.61040090650701</v>
      </c>
      <c r="R53" s="171">
        <f t="shared" si="35"/>
        <v>154.81040090650703</v>
      </c>
      <c r="S53" s="171">
        <f>S26+S30+S33-S34-S51</f>
        <v>157.52121254719665</v>
      </c>
      <c r="T53" s="171">
        <f t="shared" ref="T53:U53" si="36">T26+T30+T33-T34-T51</f>
        <v>150.78121254719667</v>
      </c>
      <c r="U53" s="171">
        <f t="shared" si="36"/>
        <v>146.77121254719665</v>
      </c>
      <c r="V53" s="171">
        <f>V26+V30+V33-V34-V51</f>
        <v>164.23040090650701</v>
      </c>
      <c r="W53" s="171">
        <f t="shared" ref="W53:X53" si="37">W26+W30+W33-W34-W51</f>
        <v>156.90040090650703</v>
      </c>
      <c r="X53" s="171">
        <f t="shared" si="37"/>
        <v>153.06040090650703</v>
      </c>
      <c r="Y53" s="171">
        <f>Y26+Y30+Y33-Y34-Y51</f>
        <v>157.77121254719668</v>
      </c>
      <c r="Z53" s="171">
        <f t="shared" ref="Z53:AA53" si="38">Z26+Z30+Z33-Z34-Z51</f>
        <v>151.77121254719665</v>
      </c>
      <c r="AA53" s="171">
        <f t="shared" si="38"/>
        <v>148.77121254719665</v>
      </c>
      <c r="AB53" s="179">
        <f>AB26+AB30+AB33-AB34-AB51</f>
        <v>149.67121254719666</v>
      </c>
      <c r="AC53" s="179">
        <f t="shared" ref="AC53:AD53" si="39">AC26+AC30+AC33-AC34-AC51</f>
        <v>143.47121254719667</v>
      </c>
      <c r="AD53" s="179">
        <f t="shared" si="39"/>
        <v>139.77121254719665</v>
      </c>
      <c r="AE53" s="171">
        <f>AE26+AE30+AE33-AE34-AE51</f>
        <v>157.64121254719666</v>
      </c>
      <c r="AF53" s="171">
        <f t="shared" ref="AF53:AG53" si="40">AF26+AF30+AF33-AF34-AF51</f>
        <v>151.97121254719667</v>
      </c>
      <c r="AG53" s="171">
        <f t="shared" si="40"/>
        <v>149.00121254719667</v>
      </c>
      <c r="AH53" s="179">
        <f>AH26+AH30+AH33-AH34-AH51</f>
        <v>151.34065242065986</v>
      </c>
      <c r="AI53" s="179">
        <f t="shared" ref="AI53:AJ53" si="41">AI26+AI30+AI33-AI34-AI51</f>
        <v>145.64065242065988</v>
      </c>
      <c r="AJ53" s="179">
        <f t="shared" si="41"/>
        <v>142.44065242065989</v>
      </c>
    </row>
    <row r="54" spans="1:36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</row>
    <row r="55" spans="1:36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</row>
    <row r="56" spans="1:36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  <c r="AH56" s="183" t="s">
        <v>16</v>
      </c>
      <c r="AI56" s="183" t="s">
        <v>16</v>
      </c>
      <c r="AJ56" s="183" t="s">
        <v>16</v>
      </c>
    </row>
    <row r="57" spans="1:36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  <c r="AH57" s="186">
        <v>4.4800000000000004</v>
      </c>
      <c r="AI57" s="186">
        <v>4.4800000000000004</v>
      </c>
      <c r="AJ57" s="186">
        <v>4.4800000000000004</v>
      </c>
    </row>
    <row r="58" spans="1:36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</row>
    <row r="59" spans="1:36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</row>
    <row r="60" spans="1:36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</row>
    <row r="61" spans="1:36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  <c r="AH61" s="195" t="s">
        <v>16</v>
      </c>
      <c r="AI61" s="195" t="s">
        <v>16</v>
      </c>
      <c r="AJ61" s="195" t="s">
        <v>16</v>
      </c>
    </row>
    <row r="62" spans="1:36" ht="30">
      <c r="A62" s="22" t="s">
        <v>109</v>
      </c>
      <c r="B62" s="37">
        <f t="shared" ref="B62:G62" si="42">B53-B57+B58-B59+B60</f>
        <v>131.84121254719665</v>
      </c>
      <c r="C62" s="37">
        <f t="shared" si="42"/>
        <v>126.14121254719666</v>
      </c>
      <c r="D62" s="37">
        <f t="shared" si="42"/>
        <v>121.44121254719667</v>
      </c>
      <c r="E62" s="37">
        <f t="shared" si="42"/>
        <v>126.56121254719665</v>
      </c>
      <c r="F62" s="37">
        <f t="shared" si="42"/>
        <v>120.89121254719666</v>
      </c>
      <c r="G62" s="78">
        <f t="shared" si="42"/>
        <v>128.13121254719667</v>
      </c>
      <c r="H62" s="78">
        <f t="shared" ref="H62:L62" si="43">H53-H57+H58-H59+H60</f>
        <v>123.78121254719665</v>
      </c>
      <c r="I62" s="78">
        <f t="shared" si="43"/>
        <v>121.19121254719667</v>
      </c>
      <c r="J62" s="23">
        <f t="shared" si="43"/>
        <v>131.1319006897061</v>
      </c>
      <c r="K62" s="23">
        <f t="shared" si="43"/>
        <v>124.5119006897061</v>
      </c>
      <c r="L62" s="23">
        <f t="shared" si="43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44">Q53-Q57+Q58-Q59+Q60</f>
        <v>127.88040090650702</v>
      </c>
      <c r="R62" s="171">
        <f t="shared" si="44"/>
        <v>124.08040090650704</v>
      </c>
      <c r="S62" s="171">
        <f>S53-S57+S58-S59+S60</f>
        <v>126.79121254719666</v>
      </c>
      <c r="T62" s="171">
        <f t="shared" ref="T62:U62" si="45">T53-T57+T58-T59+T60</f>
        <v>120.05121254719668</v>
      </c>
      <c r="U62" s="171">
        <f t="shared" si="45"/>
        <v>116.04121254719666</v>
      </c>
      <c r="V62" s="171">
        <f>V53-V57+V58-V59+V60</f>
        <v>133.50040090650702</v>
      </c>
      <c r="W62" s="171">
        <f t="shared" ref="W62:X62" si="46">W53-W57+W58-W59+W60</f>
        <v>126.17040090650704</v>
      </c>
      <c r="X62" s="171">
        <f t="shared" si="46"/>
        <v>122.33040090650704</v>
      </c>
      <c r="Y62" s="171">
        <f>Y53-Y57+Y58-Y59+Y60</f>
        <v>127.04121254719669</v>
      </c>
      <c r="Z62" s="171">
        <f t="shared" ref="Z62:AA62" si="47">Z53-Z57+Z58-Z59+Z60</f>
        <v>121.04121254719666</v>
      </c>
      <c r="AA62" s="171">
        <f t="shared" si="47"/>
        <v>118.04121254719666</v>
      </c>
      <c r="AB62" s="179">
        <f>AB53-AB57+AB58-AB59+AB60</f>
        <v>118.94121254719667</v>
      </c>
      <c r="AC62" s="179">
        <f t="shared" ref="AC62:AD62" si="48">AC53-AC57+AC58-AC59+AC60</f>
        <v>112.74121254719668</v>
      </c>
      <c r="AD62" s="179">
        <f t="shared" si="48"/>
        <v>109.04121254719666</v>
      </c>
      <c r="AE62" s="171">
        <f>AE53-AE57+AE58-AE59+AE60</f>
        <v>126.91121254719667</v>
      </c>
      <c r="AF62" s="171">
        <f t="shared" ref="AF62:AG62" si="49">AF53-AF57+AF58-AF59+AF60</f>
        <v>121.24121254719668</v>
      </c>
      <c r="AG62" s="171">
        <f t="shared" si="49"/>
        <v>118.27121254719668</v>
      </c>
      <c r="AH62" s="179">
        <f>AH53-AH57+AH58-AH59+AH60</f>
        <v>120.61065242065987</v>
      </c>
      <c r="AI62" s="179">
        <f t="shared" ref="AI62:AJ62" si="50">AI53-AI57+AI58-AI59+AI60</f>
        <v>114.91065242065989</v>
      </c>
      <c r="AJ62" s="179">
        <f t="shared" si="50"/>
        <v>111.7106524206599</v>
      </c>
    </row>
    <row r="63" spans="1:36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</row>
    <row r="64" spans="1:36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  <c r="AH64" s="195" t="s">
        <v>16</v>
      </c>
      <c r="AI64" s="195" t="s">
        <v>16</v>
      </c>
      <c r="AJ64" s="195" t="s">
        <v>16</v>
      </c>
    </row>
    <row r="65" spans="1:36" ht="15">
      <c r="A65" s="22" t="s">
        <v>98</v>
      </c>
      <c r="B65" s="37">
        <f t="shared" ref="B65:L65" si="51">B17-B23-B51+B21+B33</f>
        <v>153.80000000000004</v>
      </c>
      <c r="C65" s="37">
        <f t="shared" si="51"/>
        <v>151.10000000000002</v>
      </c>
      <c r="D65" s="37">
        <f t="shared" si="51"/>
        <v>146.40000000000003</v>
      </c>
      <c r="E65" s="37">
        <f t="shared" si="51"/>
        <v>151.47</v>
      </c>
      <c r="F65" s="37">
        <f t="shared" si="51"/>
        <v>148.80000000000004</v>
      </c>
      <c r="G65" s="78">
        <f t="shared" si="51"/>
        <v>150.09000000000003</v>
      </c>
      <c r="H65" s="78">
        <f t="shared" si="51"/>
        <v>148.74</v>
      </c>
      <c r="I65" s="78">
        <f t="shared" si="51"/>
        <v>146.15000000000003</v>
      </c>
      <c r="J65" s="23">
        <f t="shared" si="51"/>
        <v>155.74068814250944</v>
      </c>
      <c r="K65" s="23">
        <f t="shared" si="51"/>
        <v>152.12068814250947</v>
      </c>
      <c r="L65" s="23">
        <f t="shared" si="51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52">P17-P23-P51+P21+P33</f>
        <v>156.5391883593104</v>
      </c>
      <c r="Q65" s="171">
        <f t="shared" si="52"/>
        <v>152.83918835931041</v>
      </c>
      <c r="R65" s="171">
        <f t="shared" si="52"/>
        <v>149.0391883593104</v>
      </c>
      <c r="S65" s="171">
        <f t="shared" si="52"/>
        <v>148.75000000000003</v>
      </c>
      <c r="T65" s="171">
        <f t="shared" si="52"/>
        <v>145.01000000000005</v>
      </c>
      <c r="U65" s="171">
        <f t="shared" si="52"/>
        <v>141.00000000000003</v>
      </c>
      <c r="V65" s="171">
        <f t="shared" ref="V65:AA65" si="53">V17-V23-V51+V21+V33</f>
        <v>155.45918835931039</v>
      </c>
      <c r="W65" s="171">
        <f t="shared" si="53"/>
        <v>151.1291883593104</v>
      </c>
      <c r="X65" s="171">
        <f t="shared" si="53"/>
        <v>147.2891883593104</v>
      </c>
      <c r="Y65" s="171">
        <f t="shared" si="53"/>
        <v>149.00000000000006</v>
      </c>
      <c r="Z65" s="171">
        <f t="shared" si="53"/>
        <v>146.00000000000003</v>
      </c>
      <c r="AA65" s="171">
        <f t="shared" si="53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J65" si="54">AE17-AE23-AE51+AE21+AE33</f>
        <v>148.87000000000003</v>
      </c>
      <c r="AF65" s="171">
        <f t="shared" si="54"/>
        <v>146.20000000000005</v>
      </c>
      <c r="AG65" s="171">
        <f t="shared" si="54"/>
        <v>143.23000000000005</v>
      </c>
      <c r="AH65" s="179">
        <f t="shared" si="54"/>
        <v>142.56943987346324</v>
      </c>
      <c r="AI65" s="179">
        <f t="shared" si="54"/>
        <v>139.86943987346325</v>
      </c>
      <c r="AJ65" s="179">
        <f t="shared" si="54"/>
        <v>136.66943987346326</v>
      </c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P2" activePane="bottomRight" state="frozen"/>
      <selection pane="topRight"/>
      <selection pane="bottomLeft"/>
      <selection pane="bottomRight" activeCell="T1" sqref="T1:U65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20" width="16.375" style="3" customWidth="1"/>
    <col min="21" max="21" width="12.87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124</v>
      </c>
      <c r="M1" s="202"/>
      <c r="N1" s="202" t="s">
        <v>126</v>
      </c>
      <c r="O1" s="202"/>
      <c r="P1" s="202" t="s">
        <v>128</v>
      </c>
      <c r="Q1" s="202"/>
      <c r="R1" s="202" t="s">
        <v>129</v>
      </c>
      <c r="S1" s="202"/>
      <c r="T1" s="202" t="s">
        <v>130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2.6</v>
      </c>
      <c r="Q3" s="178">
        <v>2.6</v>
      </c>
      <c r="R3" s="178">
        <v>4</v>
      </c>
      <c r="S3" s="178">
        <v>4</v>
      </c>
      <c r="T3" s="178">
        <v>2.6</v>
      </c>
      <c r="U3" s="178">
        <v>2.6</v>
      </c>
    </row>
    <row r="4" spans="1:2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</row>
    <row r="7" spans="1:2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</row>
    <row r="8" spans="1:2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</row>
    <row r="9" spans="1:2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</row>
    <row r="10" spans="1:2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</row>
    <row r="14" spans="1:2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</row>
    <row r="15" spans="1:2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</row>
    <row r="16" spans="1:2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ref="P18:U18" si="2">P19+10*LOG10(P12/P14)-P20</f>
        <v>0</v>
      </c>
      <c r="Q18" s="176">
        <f t="shared" si="2"/>
        <v>-3</v>
      </c>
      <c r="R18" s="178">
        <f t="shared" si="2"/>
        <v>0</v>
      </c>
      <c r="S18" s="178">
        <f t="shared" si="2"/>
        <v>-3</v>
      </c>
      <c r="T18" s="178">
        <f t="shared" si="2"/>
        <v>0</v>
      </c>
      <c r="U18" s="178">
        <f t="shared" si="2"/>
        <v>-3</v>
      </c>
    </row>
    <row r="19" spans="1:2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</row>
    <row r="22" spans="1:2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 ht="15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 t="shared" ref="P25:U25" si="5">P17+P18+P21+P22-P24</f>
        <v>22</v>
      </c>
      <c r="Q25" s="178">
        <f t="shared" si="5"/>
        <v>19</v>
      </c>
      <c r="R25" s="178">
        <f t="shared" si="5"/>
        <v>22</v>
      </c>
      <c r="S25" s="178">
        <f t="shared" si="5"/>
        <v>19</v>
      </c>
      <c r="T25" s="178">
        <f t="shared" si="5"/>
        <v>22</v>
      </c>
      <c r="U25" s="178">
        <f t="shared" si="5"/>
        <v>19</v>
      </c>
    </row>
    <row r="26" spans="1:2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</row>
    <row r="29" spans="1:2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ref="P30:U30" si="8">P31+10*LOG10(P28/P13)-P32</f>
        <v>12.771212547196624</v>
      </c>
      <c r="Q30" s="176">
        <f t="shared" si="8"/>
        <v>12.771212547196624</v>
      </c>
      <c r="R30" s="178">
        <f t="shared" si="8"/>
        <v>8.7712125471966242</v>
      </c>
      <c r="S30" s="178">
        <f t="shared" si="8"/>
        <v>8.7712125471966242</v>
      </c>
      <c r="T30" s="178">
        <f t="shared" si="8"/>
        <v>12.771212547196624</v>
      </c>
      <c r="U30" s="178">
        <f t="shared" si="8"/>
        <v>12.771212547196624</v>
      </c>
    </row>
    <row r="31" spans="1:2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</row>
    <row r="33" spans="1:2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</row>
    <row r="34" spans="1:2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</row>
    <row r="37" spans="1:2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</row>
    <row r="38" spans="1:2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</row>
    <row r="39" spans="1:21" ht="30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-169.00000000000003</v>
      </c>
      <c r="M39" s="176">
        <f t="shared" si="10"/>
        <v>-169.00000000000003</v>
      </c>
      <c r="N39" s="176">
        <f t="shared" si="10"/>
        <v>-164.03352307536667</v>
      </c>
      <c r="O39" s="176">
        <f t="shared" si="10"/>
        <v>-164.03352307536667</v>
      </c>
      <c r="P39" s="176">
        <f t="shared" ref="P39:U39" si="11">10*LOG10(10^((P35+P36)/10)+10^(P37/10))</f>
        <v>-169.00000000000003</v>
      </c>
      <c r="Q39" s="176">
        <f t="shared" si="11"/>
        <v>-169.00000000000003</v>
      </c>
      <c r="R39" s="178">
        <f t="shared" si="11"/>
        <v>-169.00000000000003</v>
      </c>
      <c r="S39" s="178">
        <f t="shared" si="11"/>
        <v>-169.00000000000003</v>
      </c>
      <c r="T39" s="178">
        <f t="shared" si="11"/>
        <v>-169.00000000000003</v>
      </c>
      <c r="U39" s="178">
        <f t="shared" si="11"/>
        <v>-169.00000000000003</v>
      </c>
    </row>
    <row r="40" spans="1:2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</row>
    <row r="41" spans="1:21" ht="15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6">
        <f t="shared" ref="P41:U41" si="14">1*12*30*1000</f>
        <v>360000</v>
      </c>
      <c r="Q41" s="176">
        <f t="shared" si="14"/>
        <v>360000</v>
      </c>
      <c r="R41" s="178">
        <f t="shared" si="14"/>
        <v>360000</v>
      </c>
      <c r="S41" s="178">
        <f t="shared" si="14"/>
        <v>360000</v>
      </c>
      <c r="T41" s="178">
        <f t="shared" si="14"/>
        <v>360000</v>
      </c>
      <c r="U41" s="178">
        <f t="shared" si="14"/>
        <v>360000</v>
      </c>
    </row>
    <row r="42" spans="1:2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</row>
    <row r="43" spans="1:21" ht="15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-113.43697499232715</v>
      </c>
      <c r="M43" s="176">
        <f t="shared" si="16"/>
        <v>-113.43697499232715</v>
      </c>
      <c r="N43" s="176">
        <f t="shared" si="16"/>
        <v>-108.4704980676938</v>
      </c>
      <c r="O43" s="176">
        <f t="shared" si="16"/>
        <v>-108.4704980676938</v>
      </c>
      <c r="P43" s="176">
        <f t="shared" ref="P43:U43" si="17">P39+10*LOG10(P41)</f>
        <v>-113.43697499232715</v>
      </c>
      <c r="Q43" s="176">
        <f t="shared" si="17"/>
        <v>-113.43697499232715</v>
      </c>
      <c r="R43" s="178">
        <f t="shared" si="17"/>
        <v>-113.43697499232715</v>
      </c>
      <c r="S43" s="178">
        <f t="shared" si="17"/>
        <v>-113.43697499232715</v>
      </c>
      <c r="T43" s="178">
        <f t="shared" si="17"/>
        <v>-113.43697499232715</v>
      </c>
      <c r="U43" s="178">
        <f t="shared" si="17"/>
        <v>-113.43697499232715</v>
      </c>
    </row>
    <row r="44" spans="1:2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</row>
    <row r="45" spans="1:21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</row>
    <row r="46" spans="1:2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</row>
    <row r="47" spans="1:2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</row>
    <row r="49" spans="1:2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</row>
    <row r="50" spans="1:21" ht="30">
      <c r="A50" s="8" t="s">
        <v>80</v>
      </c>
      <c r="B50" s="13">
        <f t="shared" ref="B50:I50" si="18">B43+B45+B47-B48</f>
        <v>-118.83697499232716</v>
      </c>
      <c r="C50" s="13">
        <f t="shared" si="18"/>
        <v>-118.53697499232715</v>
      </c>
      <c r="D50" s="13">
        <f t="shared" si="18"/>
        <v>-121.73697499232715</v>
      </c>
      <c r="E50" s="13">
        <f t="shared" si="18"/>
        <v>-121.73697499232715</v>
      </c>
      <c r="F50" s="86">
        <f t="shared" si="18"/>
        <v>-115.26697499232715</v>
      </c>
      <c r="G50" s="86">
        <f t="shared" si="18"/>
        <v>-115.14697499232715</v>
      </c>
      <c r="H50" s="13">
        <f t="shared" si="18"/>
        <v>-109.47536389278032</v>
      </c>
      <c r="I50" s="13">
        <f t="shared" si="18"/>
        <v>-109.47536389278032</v>
      </c>
      <c r="J50" s="178">
        <f t="shared" ref="J50:O50" si="19">J43+J45+J47-J48</f>
        <v>-104.89536389278032</v>
      </c>
      <c r="K50" s="178">
        <f t="shared" si="19"/>
        <v>-104.89536389278032</v>
      </c>
      <c r="L50" s="176">
        <f t="shared" si="19"/>
        <v>-121.46697499232715</v>
      </c>
      <c r="M50" s="176">
        <f t="shared" si="19"/>
        <v>-121.46697499232715</v>
      </c>
      <c r="N50" s="176">
        <f t="shared" si="19"/>
        <v>-116.7504980676938</v>
      </c>
      <c r="O50" s="176">
        <f t="shared" si="19"/>
        <v>-116.7504980676938</v>
      </c>
      <c r="P50" s="176">
        <f t="shared" ref="P50:U50" si="20">P43+P45+P47-P48</f>
        <v>-118.43697499232715</v>
      </c>
      <c r="Q50" s="176">
        <f t="shared" si="20"/>
        <v>-118.43697499232715</v>
      </c>
      <c r="R50" s="178">
        <f t="shared" si="20"/>
        <v>-116.83697499232716</v>
      </c>
      <c r="S50" s="178">
        <f t="shared" si="20"/>
        <v>-116.83697499232716</v>
      </c>
      <c r="T50" s="178">
        <f t="shared" si="20"/>
        <v>-120.83697499232716</v>
      </c>
      <c r="U50" s="178">
        <f t="shared" si="20"/>
        <v>-120.33697499232716</v>
      </c>
    </row>
    <row r="51" spans="1:2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</row>
    <row r="52" spans="1:21" ht="30">
      <c r="A52" s="22" t="s">
        <v>83</v>
      </c>
      <c r="B52" s="23">
        <f t="shared" ref="B52:I52" si="21">B25+B30+B33-B34-B50</f>
        <v>158.60818753952378</v>
      </c>
      <c r="C52" s="23">
        <f t="shared" si="21"/>
        <v>155.30818753952377</v>
      </c>
      <c r="D52" s="23">
        <f t="shared" si="21"/>
        <v>162.59818753952376</v>
      </c>
      <c r="E52" s="23">
        <f t="shared" si="21"/>
        <v>159.59818753952376</v>
      </c>
      <c r="F52" s="90">
        <f t="shared" si="21"/>
        <v>155.03818753952379</v>
      </c>
      <c r="G52" s="90">
        <f t="shared" si="21"/>
        <v>151.91818753952379</v>
      </c>
      <c r="H52" s="23">
        <f t="shared" si="21"/>
        <v>156.298076223176</v>
      </c>
      <c r="I52" s="23">
        <f t="shared" si="21"/>
        <v>153.298076223176</v>
      </c>
      <c r="J52" s="179">
        <f t="shared" ref="J52:O52" si="22">J25+J30+J33-J34-J50</f>
        <v>151.71657643997696</v>
      </c>
      <c r="K52" s="179">
        <f t="shared" si="22"/>
        <v>148.71657643997696</v>
      </c>
      <c r="L52" s="179">
        <f t="shared" si="22"/>
        <v>161.23818753952378</v>
      </c>
      <c r="M52" s="179">
        <f t="shared" si="22"/>
        <v>158.23818753952378</v>
      </c>
      <c r="N52" s="179">
        <f t="shared" si="22"/>
        <v>160.52171061489042</v>
      </c>
      <c r="O52" s="179">
        <f t="shared" si="22"/>
        <v>157.52171061489042</v>
      </c>
      <c r="P52" s="179">
        <f t="shared" ref="P52:U52" si="23">P25+P30+P33-P34-P50</f>
        <v>158.20818753952378</v>
      </c>
      <c r="Q52" s="179">
        <f t="shared" si="23"/>
        <v>155.20818753952378</v>
      </c>
      <c r="R52" s="179">
        <f t="shared" si="23"/>
        <v>153.60818753952378</v>
      </c>
      <c r="S52" s="179">
        <f t="shared" si="23"/>
        <v>150.60818753952378</v>
      </c>
      <c r="T52" s="179">
        <f t="shared" si="23"/>
        <v>160.60818753952378</v>
      </c>
      <c r="U52" s="179">
        <f t="shared" si="23"/>
        <v>157.10818753952378</v>
      </c>
    </row>
    <row r="53" spans="1:2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</row>
    <row r="57" spans="1:2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</row>
    <row r="58" spans="1:2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30">
      <c r="A61" s="22" t="s">
        <v>108</v>
      </c>
      <c r="B61" s="23">
        <f t="shared" ref="B61:I61" si="24">B52-B56+B58-B59+B60</f>
        <v>124.79818753952378</v>
      </c>
      <c r="C61" s="23">
        <f t="shared" si="24"/>
        <v>121.49818753952377</v>
      </c>
      <c r="D61" s="23">
        <f t="shared" si="24"/>
        <v>128.78818753952376</v>
      </c>
      <c r="E61" s="23">
        <f t="shared" si="24"/>
        <v>125.78818753952376</v>
      </c>
      <c r="F61" s="90">
        <f t="shared" si="24"/>
        <v>121.22818753952379</v>
      </c>
      <c r="G61" s="90">
        <f t="shared" si="24"/>
        <v>118.10818753952378</v>
      </c>
      <c r="H61" s="23">
        <f t="shared" si="24"/>
        <v>122.48807622317599</v>
      </c>
      <c r="I61" s="23">
        <f t="shared" si="24"/>
        <v>119.48807622317599</v>
      </c>
      <c r="J61" s="179">
        <f t="shared" ref="J61:O61" si="25">J52-J56+J58-J59+J60</f>
        <v>117.88657643997695</v>
      </c>
      <c r="K61" s="179">
        <f t="shared" si="25"/>
        <v>114.88657643997695</v>
      </c>
      <c r="L61" s="179">
        <f t="shared" si="25"/>
        <v>127.42818753952378</v>
      </c>
      <c r="M61" s="179">
        <f t="shared" si="25"/>
        <v>124.42818753952378</v>
      </c>
      <c r="N61" s="179">
        <f t="shared" si="25"/>
        <v>126.71171061489042</v>
      </c>
      <c r="O61" s="179">
        <f t="shared" si="25"/>
        <v>123.71171061489042</v>
      </c>
      <c r="P61" s="179">
        <f t="shared" ref="P61:U61" si="26">P52-P56+P58-P59+P60</f>
        <v>124.39818753952378</v>
      </c>
      <c r="Q61" s="179">
        <f t="shared" si="26"/>
        <v>121.39818753952378</v>
      </c>
      <c r="R61" s="179">
        <f t="shared" si="26"/>
        <v>119.79818753952378</v>
      </c>
      <c r="S61" s="179">
        <f t="shared" si="26"/>
        <v>116.79818753952378</v>
      </c>
      <c r="T61" s="179">
        <f t="shared" si="26"/>
        <v>126.79818753952378</v>
      </c>
      <c r="U61" s="179">
        <f t="shared" si="26"/>
        <v>123.29818753952378</v>
      </c>
    </row>
    <row r="62" spans="1:2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</row>
    <row r="63" spans="1:21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</row>
    <row r="64" spans="1:21" ht="15">
      <c r="A64" s="22" t="s">
        <v>97</v>
      </c>
      <c r="B64" s="23">
        <f t="shared" ref="B64:I64" si="27">B17+B22-B50+B21+B33</f>
        <v>149.83697499232716</v>
      </c>
      <c r="C64" s="23">
        <f t="shared" si="27"/>
        <v>149.53697499232715</v>
      </c>
      <c r="D64" s="23">
        <f t="shared" si="27"/>
        <v>156.77697499232713</v>
      </c>
      <c r="E64" s="23">
        <f t="shared" si="27"/>
        <v>156.77697499232713</v>
      </c>
      <c r="F64" s="90">
        <f t="shared" si="27"/>
        <v>146.26697499232716</v>
      </c>
      <c r="G64" s="90">
        <f t="shared" si="27"/>
        <v>146.14697499232716</v>
      </c>
      <c r="H64" s="23">
        <f t="shared" si="27"/>
        <v>147.52686367597937</v>
      </c>
      <c r="I64" s="23">
        <f t="shared" si="27"/>
        <v>147.52686367597937</v>
      </c>
      <c r="J64" s="179">
        <f t="shared" ref="J64:O64" si="28">J17+J22-J50+J21+J33</f>
        <v>142.94536389278034</v>
      </c>
      <c r="K64" s="179">
        <f t="shared" si="28"/>
        <v>142.94536389278034</v>
      </c>
      <c r="L64" s="179">
        <f t="shared" si="28"/>
        <v>152.46697499232715</v>
      </c>
      <c r="M64" s="179">
        <f t="shared" si="28"/>
        <v>152.46697499232715</v>
      </c>
      <c r="N64" s="179">
        <f t="shared" si="28"/>
        <v>151.7504980676938</v>
      </c>
      <c r="O64" s="179">
        <f t="shared" si="28"/>
        <v>151.7504980676938</v>
      </c>
      <c r="P64" s="179">
        <f t="shared" ref="P64:U64" si="29">P17+P22-P50+P21+P33</f>
        <v>149.43697499232715</v>
      </c>
      <c r="Q64" s="179">
        <f t="shared" si="29"/>
        <v>149.43697499232715</v>
      </c>
      <c r="R64" s="179">
        <f t="shared" si="29"/>
        <v>148.83697499232716</v>
      </c>
      <c r="S64" s="179">
        <f t="shared" si="29"/>
        <v>148.83697499232716</v>
      </c>
      <c r="T64" s="179">
        <f t="shared" si="29"/>
        <v>151.83697499232716</v>
      </c>
      <c r="U64" s="179">
        <f t="shared" si="29"/>
        <v>151.33697499232716</v>
      </c>
    </row>
    <row r="65" spans="1:2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workbookViewId="0">
      <pane xSplit="1" ySplit="1" topLeftCell="H2" activePane="bottomRight" state="frozen"/>
      <selection pane="topRight"/>
      <selection pane="bottomLeft"/>
      <selection pane="bottomRight" activeCell="N1" sqref="N1:O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384" width="9" style="3"/>
  </cols>
  <sheetData>
    <row r="1" spans="1:15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124</v>
      </c>
      <c r="K1" s="202"/>
      <c r="L1" s="202" t="s">
        <v>128</v>
      </c>
      <c r="M1" s="202"/>
      <c r="N1" s="202" t="s">
        <v>129</v>
      </c>
      <c r="O1" s="202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2.6</v>
      </c>
      <c r="M3" s="178">
        <v>2.6</v>
      </c>
      <c r="N3" s="178">
        <v>4</v>
      </c>
      <c r="O3" s="178">
        <v>4</v>
      </c>
    </row>
    <row r="4" spans="1:1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</row>
    <row r="8" spans="1:15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</row>
    <row r="9" spans="1:1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</row>
    <row r="10" spans="1:1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</row>
    <row r="14" spans="1:1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</row>
    <row r="15" spans="1:1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</row>
    <row r="16" spans="1:1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</row>
    <row r="19" spans="1:1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</row>
    <row r="22" spans="1:1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 ht="15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</row>
    <row r="26" spans="1:15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</row>
    <row r="29" spans="1:1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</row>
    <row r="30" spans="1:15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</row>
    <row r="31" spans="1:1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</row>
    <row r="33" spans="1:15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</row>
    <row r="34" spans="1:1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</row>
    <row r="37" spans="1:15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</row>
    <row r="38" spans="1:15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</row>
    <row r="39" spans="1:15" ht="30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</row>
    <row r="40" spans="1:15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</row>
    <row r="41" spans="1:15" ht="15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</row>
    <row r="42" spans="1:15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</row>
    <row r="43" spans="1:15" ht="15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</row>
    <row r="44" spans="1:15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</row>
    <row r="45" spans="1:15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</row>
    <row r="46" spans="1:15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</row>
    <row r="47" spans="1:1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</row>
    <row r="49" spans="1:15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</row>
    <row r="50" spans="1:15" ht="30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</row>
    <row r="51" spans="1:15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</row>
    <row r="52" spans="1:15" ht="30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</row>
    <row r="57" spans="1:15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</row>
    <row r="58" spans="1:1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30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</row>
    <row r="62" spans="1:15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</row>
    <row r="63" spans="1:15">
      <c r="C63" s="2"/>
      <c r="E63" s="2"/>
      <c r="G63" s="82"/>
      <c r="H63" s="2"/>
      <c r="I63" s="2"/>
      <c r="K63" s="2"/>
      <c r="M63" s="2"/>
      <c r="O63" s="2"/>
    </row>
    <row r="64" spans="1:15" ht="15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5"/>
  <sheetViews>
    <sheetView workbookViewId="0">
      <pane xSplit="1" ySplit="1" topLeftCell="N59" activePane="bottomRight" state="frozen"/>
      <selection pane="topRight"/>
      <selection pane="bottomLeft"/>
      <selection pane="bottomRight" activeCell="R77" sqref="R77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6.375" style="3" customWidth="1"/>
    <col min="19" max="19" width="12.75" style="3" customWidth="1"/>
    <col min="20" max="20" width="15.625" style="2" customWidth="1"/>
    <col min="21" max="21" width="15.62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126</v>
      </c>
      <c r="M1" s="202"/>
      <c r="N1" s="202" t="s">
        <v>128</v>
      </c>
      <c r="O1" s="202"/>
      <c r="P1" s="202" t="s">
        <v>129</v>
      </c>
      <c r="Q1" s="202"/>
      <c r="R1" s="202" t="s">
        <v>130</v>
      </c>
      <c r="S1" s="202"/>
      <c r="T1" s="202" t="s">
        <v>131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4</v>
      </c>
      <c r="Q3" s="178">
        <v>4</v>
      </c>
      <c r="R3" s="178">
        <v>2.6</v>
      </c>
      <c r="S3" s="178">
        <v>2.6</v>
      </c>
      <c r="T3" s="178">
        <v>4</v>
      </c>
      <c r="U3" s="178">
        <v>4</v>
      </c>
    </row>
    <row r="4" spans="1:2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</row>
    <row r="7" spans="1:2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</row>
    <row r="8" spans="1:2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</row>
    <row r="9" spans="1:2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</row>
    <row r="10" spans="1:2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  <c r="T13" s="178">
        <v>64</v>
      </c>
      <c r="U13" s="178">
        <v>64</v>
      </c>
    </row>
    <row r="14" spans="1:2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  <c r="T14" s="178">
        <v>1</v>
      </c>
      <c r="U14" s="178">
        <v>1</v>
      </c>
    </row>
    <row r="15" spans="1:2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</row>
    <row r="16" spans="1:2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  <c r="T18" s="178">
        <f>T19+10*LOG10(T12/T14)-T20</f>
        <v>0</v>
      </c>
      <c r="U18" s="178">
        <f>U19+10*LOG10(U12/U14)-U20</f>
        <v>-3</v>
      </c>
    </row>
    <row r="19" spans="1:2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</row>
    <row r="22" spans="1:2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 ht="15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  <c r="T25" s="178">
        <f>T17+T18+T21+T22-T24</f>
        <v>22</v>
      </c>
      <c r="U25" s="178">
        <f>U17+U18+U21+U22-U24</f>
        <v>19</v>
      </c>
    </row>
    <row r="26" spans="1:2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  <c r="T28" s="178">
        <v>192</v>
      </c>
      <c r="U28" s="178">
        <v>192</v>
      </c>
    </row>
    <row r="29" spans="1:2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  <c r="T30" s="178">
        <f>T31+10*LOG10(T28/T13)-T32</f>
        <v>12.771212547196624</v>
      </c>
      <c r="U30" s="178">
        <f>U31+10*LOG10(U28/U13)-U32</f>
        <v>12.771212547196624</v>
      </c>
    </row>
    <row r="31" spans="1:2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  <c r="T32" s="186">
        <v>0</v>
      </c>
      <c r="U32" s="186">
        <v>0</v>
      </c>
    </row>
    <row r="33" spans="1:2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  <c r="T33" s="182">
        <v>7</v>
      </c>
      <c r="U33" s="182">
        <v>7</v>
      </c>
    </row>
    <row r="34" spans="1:2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</row>
    <row r="37" spans="1:2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-160.96</v>
      </c>
      <c r="U37" s="186">
        <v>-160.96</v>
      </c>
    </row>
    <row r="38" spans="1:2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</row>
    <row r="39" spans="1:21" ht="30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  <c r="T39" s="178">
        <f>10*LOG10(10^((T35+T36)/10)+10^(T37/10))</f>
        <v>-160.32653022945425</v>
      </c>
      <c r="U39" s="178">
        <f>10*LOG10(10^((U35+U36)/10)+10^(U37/10))</f>
        <v>-160.32653022945425</v>
      </c>
    </row>
    <row r="40" spans="1:2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</row>
    <row r="41" spans="1:21" ht="15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  <c r="T41" s="178">
        <f>1*12*30*1000</f>
        <v>360000</v>
      </c>
      <c r="U41" s="178">
        <f>1*12*30*1000</f>
        <v>360000</v>
      </c>
    </row>
    <row r="42" spans="1:2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</row>
    <row r="43" spans="1:21" ht="15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  <c r="T43" s="178">
        <f>T39+10*LOG10(T41)</f>
        <v>-104.76350522178137</v>
      </c>
      <c r="U43" s="178">
        <f>U39+10*LOG10(U41)</f>
        <v>-104.76350522178137</v>
      </c>
    </row>
    <row r="44" spans="1:2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</row>
    <row r="45" spans="1:21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  <c r="T45" s="182">
        <v>-5</v>
      </c>
      <c r="U45" s="182">
        <v>-5</v>
      </c>
    </row>
    <row r="46" spans="1:2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</row>
    <row r="47" spans="1:2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</row>
    <row r="49" spans="1:2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</row>
    <row r="50" spans="1:21" ht="30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  <c r="T50" s="178">
        <f>T43+T45+T47-T48</f>
        <v>-107.76350522178137</v>
      </c>
      <c r="U50" s="178">
        <f>U43+U45+U47-U48</f>
        <v>-107.76350522178137</v>
      </c>
    </row>
    <row r="51" spans="1:2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</row>
    <row r="52" spans="1:21" ht="30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  <c r="T52" s="179">
        <f>T25+T30+T33-T34-T50</f>
        <v>146.534717768978</v>
      </c>
      <c r="U52" s="179">
        <f>U25+U30+U33-U34-U50</f>
        <v>143.534717768978</v>
      </c>
    </row>
    <row r="53" spans="1:2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</row>
    <row r="57" spans="1:2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</row>
    <row r="58" spans="1:2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30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  <c r="T61" s="179">
        <f>T52-T56+T58-T59+T60</f>
        <v>112.724717768978</v>
      </c>
      <c r="U61" s="179">
        <f>U52-U56+U58-U59+U60</f>
        <v>109.724717768978</v>
      </c>
    </row>
    <row r="62" spans="1:2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</row>
    <row r="63" spans="1:21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  <c r="U63" s="2"/>
    </row>
    <row r="64" spans="1:21" ht="15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  <c r="T64" s="179">
        <f>T17+T22-T50+T21+T33</f>
        <v>137.76350522178137</v>
      </c>
      <c r="U64" s="179">
        <f>U17+U22-U50+U21+U33</f>
        <v>137.76350522178137</v>
      </c>
    </row>
    <row r="65" spans="1:2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tabSelected="1" workbookViewId="0">
      <pane xSplit="1" ySplit="1" topLeftCell="R2" activePane="bottomRight" state="frozen"/>
      <selection pane="topRight"/>
      <selection pane="bottomLeft"/>
      <selection pane="bottomRight" activeCell="X1" sqref="X1:Y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3.5" style="3" customWidth="1"/>
    <col min="11" max="11" width="16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20" width="15.625" style="2" customWidth="1"/>
    <col min="21" max="21" width="15.625" style="3" customWidth="1"/>
    <col min="22" max="22" width="13.875" style="3" customWidth="1"/>
    <col min="23" max="23" width="13.125" style="3" customWidth="1"/>
    <col min="24" max="24" width="15.625" style="2" customWidth="1"/>
    <col min="25" max="25" width="15.625" style="3" customWidth="1"/>
    <col min="26" max="16384" width="9" style="3"/>
  </cols>
  <sheetData>
    <row r="1" spans="1:25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125</v>
      </c>
      <c r="Q1" s="202"/>
      <c r="R1" s="202" t="s">
        <v>128</v>
      </c>
      <c r="S1" s="202"/>
      <c r="T1" s="202" t="s">
        <v>129</v>
      </c>
      <c r="U1" s="202"/>
      <c r="V1" s="202" t="s">
        <v>130</v>
      </c>
      <c r="W1" s="202"/>
      <c r="X1" s="202" t="s">
        <v>131</v>
      </c>
      <c r="Y1" s="202"/>
    </row>
    <row r="2" spans="1:2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84" t="s">
        <v>102</v>
      </c>
      <c r="Y2" s="185" t="s">
        <v>110</v>
      </c>
    </row>
    <row r="3" spans="1:2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  <c r="V3" s="178">
        <v>2.6</v>
      </c>
      <c r="W3" s="178">
        <v>2.6</v>
      </c>
      <c r="X3" s="178">
        <v>4</v>
      </c>
      <c r="Y3" s="178">
        <v>4</v>
      </c>
    </row>
    <row r="4" spans="1:2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78">
        <v>100</v>
      </c>
      <c r="Y4" s="178">
        <v>100</v>
      </c>
    </row>
    <row r="5" spans="1:2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83" t="s">
        <v>16</v>
      </c>
      <c r="Y5" s="183" t="s">
        <v>16</v>
      </c>
    </row>
    <row r="6" spans="1:25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  <c r="X6" s="178">
        <v>1000000</v>
      </c>
      <c r="Y6" s="178">
        <v>1000000</v>
      </c>
    </row>
    <row r="7" spans="1:25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83" t="s">
        <v>16</v>
      </c>
      <c r="Y7" s="183" t="s">
        <v>16</v>
      </c>
    </row>
    <row r="8" spans="1:25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81">
        <v>0.1</v>
      </c>
      <c r="Y8" s="181">
        <v>0.1</v>
      </c>
    </row>
    <row r="9" spans="1:2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78" t="s">
        <v>22</v>
      </c>
      <c r="Y9" s="178" t="s">
        <v>22</v>
      </c>
    </row>
    <row r="10" spans="1:2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78">
        <v>3</v>
      </c>
      <c r="Y10" s="178">
        <v>3</v>
      </c>
    </row>
    <row r="11" spans="1:2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</row>
    <row r="12" spans="1:2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78">
        <v>1</v>
      </c>
      <c r="Y12" s="178">
        <v>1</v>
      </c>
    </row>
    <row r="13" spans="1:2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78">
        <v>64</v>
      </c>
      <c r="Y13" s="178">
        <v>64</v>
      </c>
    </row>
    <row r="14" spans="1:2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78">
        <v>1</v>
      </c>
      <c r="Y14" s="178">
        <v>1</v>
      </c>
    </row>
    <row r="15" spans="1:2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78" t="s">
        <v>16</v>
      </c>
      <c r="Y15" s="178" t="s">
        <v>16</v>
      </c>
    </row>
    <row r="16" spans="1:2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78">
        <v>23</v>
      </c>
      <c r="Y16" s="178">
        <v>23</v>
      </c>
    </row>
    <row r="17" spans="1:2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78">
        <v>23</v>
      </c>
      <c r="Y17" s="178">
        <v>23</v>
      </c>
    </row>
    <row r="18" spans="1:2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78">
        <f>X19+10*LOG10(X12/X14)-X20</f>
        <v>0</v>
      </c>
      <c r="Y18" s="178">
        <f>Y19+10*LOG10(Y12/Y14)-Y20</f>
        <v>-3</v>
      </c>
    </row>
    <row r="19" spans="1:2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78">
        <v>0</v>
      </c>
      <c r="Y19" s="178">
        <v>-3</v>
      </c>
    </row>
    <row r="20" spans="1:2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</row>
    <row r="21" spans="1:2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  <c r="Y21" s="178">
        <v>0</v>
      </c>
    </row>
    <row r="22" spans="1:2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  <c r="Y22" s="178">
        <v>0</v>
      </c>
    </row>
    <row r="23" spans="1:2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8">
        <v>0</v>
      </c>
      <c r="Y23" s="178">
        <v>0</v>
      </c>
    </row>
    <row r="24" spans="1:2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78">
        <v>1</v>
      </c>
      <c r="Y24" s="178">
        <v>1</v>
      </c>
    </row>
    <row r="25" spans="1:25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83" t="s">
        <v>16</v>
      </c>
      <c r="Y25" s="183" t="s">
        <v>16</v>
      </c>
    </row>
    <row r="26" spans="1:25" ht="15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26">
        <v>22</v>
      </c>
      <c r="K26" s="126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78">
        <f>X17+X18+X21-X23-X24</f>
        <v>22</v>
      </c>
      <c r="Y26" s="178">
        <f>Y17+Y18+Y21-Y23-Y24</f>
        <v>19</v>
      </c>
    </row>
    <row r="27" spans="1:2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</row>
    <row r="28" spans="1:2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78">
        <v>192</v>
      </c>
      <c r="Y28" s="178">
        <v>192</v>
      </c>
    </row>
    <row r="29" spans="1:2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86">
        <v>4</v>
      </c>
      <c r="Y29" s="186">
        <v>4</v>
      </c>
    </row>
    <row r="30" spans="1:25" ht="45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24">
        <v>12.771212547196624</v>
      </c>
      <c r="K30" s="124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78">
        <f>X31+10*LOG10(X28/X13)-X32</f>
        <v>12.771212547196624</v>
      </c>
      <c r="Y30" s="178">
        <f>Y31+10*LOG10(Y28/Y13)-Y32</f>
        <v>12.771212547196624</v>
      </c>
    </row>
    <row r="31" spans="1:2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78">
        <v>8</v>
      </c>
      <c r="Y31" s="178">
        <v>8</v>
      </c>
    </row>
    <row r="32" spans="1:2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86">
        <v>0</v>
      </c>
      <c r="Y32" s="186">
        <v>0</v>
      </c>
    </row>
    <row r="33" spans="1:25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  <c r="X33" s="182">
        <v>12</v>
      </c>
      <c r="Y33" s="182">
        <v>12</v>
      </c>
    </row>
    <row r="34" spans="1:2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78">
        <v>3</v>
      </c>
      <c r="Y34" s="178">
        <v>3</v>
      </c>
    </row>
    <row r="35" spans="1:2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78">
        <v>5</v>
      </c>
      <c r="Y35" s="178">
        <v>5</v>
      </c>
    </row>
    <row r="36" spans="1:25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78">
        <v>-174</v>
      </c>
      <c r="Y36" s="178">
        <v>-174</v>
      </c>
    </row>
    <row r="37" spans="1:25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78" t="s">
        <v>16</v>
      </c>
      <c r="Y37" s="178" t="s">
        <v>16</v>
      </c>
    </row>
    <row r="38" spans="1:25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  <c r="X38" s="186">
        <v>-164.03</v>
      </c>
      <c r="Y38" s="186">
        <v>-164.03</v>
      </c>
    </row>
    <row r="39" spans="1:25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83" t="s">
        <v>16</v>
      </c>
      <c r="Y39" s="183" t="s">
        <v>16</v>
      </c>
    </row>
    <row r="40" spans="1:25" ht="30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24">
        <v>-169.00000000000003</v>
      </c>
      <c r="K40" s="124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-169.00000000000003</v>
      </c>
      <c r="W40" s="178">
        <f t="shared" si="11"/>
        <v>-169.00000000000003</v>
      </c>
      <c r="X40" s="178">
        <f>10*LOG10(10^((X35+X36)/10)+10^(X38/10))</f>
        <v>-162.82946299127457</v>
      </c>
      <c r="Y40" s="178">
        <f>10*LOG10(10^((Y35+Y36)/10)+10^(Y38/10))</f>
        <v>-162.82946299127457</v>
      </c>
    </row>
    <row r="41" spans="1:25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78" t="s">
        <v>16</v>
      </c>
      <c r="Y41" s="178" t="s">
        <v>16</v>
      </c>
    </row>
    <row r="42" spans="1:25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12">30*360*1000</f>
        <v>10800000</v>
      </c>
      <c r="M42" s="182">
        <f t="shared" si="12"/>
        <v>10800000</v>
      </c>
      <c r="N42" s="182">
        <f t="shared" si="12"/>
        <v>10800000</v>
      </c>
      <c r="O42" s="182">
        <f t="shared" si="12"/>
        <v>10800000</v>
      </c>
      <c r="P42" s="182">
        <f t="shared" si="12"/>
        <v>10800000</v>
      </c>
      <c r="Q42" s="182">
        <f t="shared" si="12"/>
        <v>10800000</v>
      </c>
      <c r="R42" s="182">
        <f t="shared" ref="R42:W42" si="13">30*360*1000</f>
        <v>10800000</v>
      </c>
      <c r="S42" s="182">
        <f t="shared" si="13"/>
        <v>10800000</v>
      </c>
      <c r="T42" s="182">
        <f t="shared" si="13"/>
        <v>10800000</v>
      </c>
      <c r="U42" s="182">
        <f t="shared" si="13"/>
        <v>10800000</v>
      </c>
      <c r="V42" s="182">
        <f t="shared" si="13"/>
        <v>10800000</v>
      </c>
      <c r="W42" s="182">
        <f t="shared" si="13"/>
        <v>10800000</v>
      </c>
      <c r="X42" s="182">
        <f>32*360*1000</f>
        <v>11520000</v>
      </c>
      <c r="Y42" s="182">
        <f>32*360*1000</f>
        <v>11520000</v>
      </c>
    </row>
    <row r="43" spans="1:25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83" t="s">
        <v>16</v>
      </c>
      <c r="Y43" s="183" t="s">
        <v>16</v>
      </c>
    </row>
    <row r="44" spans="1:25" ht="15">
      <c r="A44" s="8" t="s">
        <v>72</v>
      </c>
      <c r="B44" s="13">
        <f t="shared" ref="B44:I44" si="14">B40+10*LOG10(B42)</f>
        <v>-98.965394678904971</v>
      </c>
      <c r="C44" s="13">
        <f t="shared" si="14"/>
        <v>-98.965394678904971</v>
      </c>
      <c r="D44" s="13">
        <f t="shared" si="14"/>
        <v>-97.996294548824409</v>
      </c>
      <c r="E44" s="13">
        <f t="shared" si="14"/>
        <v>-97.996294548824409</v>
      </c>
      <c r="F44" s="86">
        <f t="shared" si="14"/>
        <v>-98.66576244513054</v>
      </c>
      <c r="G44" s="86">
        <f t="shared" si="14"/>
        <v>-98.66576244513054</v>
      </c>
      <c r="H44" s="13">
        <f t="shared" si="14"/>
        <v>-93.699285520497185</v>
      </c>
      <c r="I44" s="13">
        <f t="shared" si="14"/>
        <v>-93.699285520497185</v>
      </c>
      <c r="J44" s="124">
        <v>-98.66576244513054</v>
      </c>
      <c r="K44" s="124">
        <v>-98.66576244513054</v>
      </c>
      <c r="L44" s="178">
        <f t="shared" ref="L44:Q44" si="15">L40+10*LOG10(L42)</f>
        <v>-93.699285520497185</v>
      </c>
      <c r="M44" s="178">
        <f t="shared" si="15"/>
        <v>-93.699285520497185</v>
      </c>
      <c r="N44" s="176">
        <f t="shared" si="15"/>
        <v>-98.66576244513054</v>
      </c>
      <c r="O44" s="176">
        <f t="shared" si="15"/>
        <v>-98.66576244513054</v>
      </c>
      <c r="P44" s="176">
        <f t="shared" si="15"/>
        <v>-93.699285520497185</v>
      </c>
      <c r="Q44" s="176">
        <f t="shared" si="15"/>
        <v>-93.699285520497185</v>
      </c>
      <c r="R44" s="176">
        <f t="shared" ref="R44:W44" si="16">R40+10*LOG10(R42)</f>
        <v>-98.66576244513054</v>
      </c>
      <c r="S44" s="176">
        <f t="shared" si="16"/>
        <v>-98.66576244513054</v>
      </c>
      <c r="T44" s="178">
        <f t="shared" si="16"/>
        <v>-98.66576244513054</v>
      </c>
      <c r="U44" s="178">
        <f t="shared" si="16"/>
        <v>-98.66576244513054</v>
      </c>
      <c r="V44" s="178">
        <f t="shared" si="16"/>
        <v>-98.66576244513054</v>
      </c>
      <c r="W44" s="178">
        <f t="shared" si="16"/>
        <v>-98.66576244513054</v>
      </c>
      <c r="X44" s="178">
        <f>X40+10*LOG10(X42)</f>
        <v>-92.214938200402642</v>
      </c>
      <c r="Y44" s="178">
        <f>Y40+10*LOG10(Y42)</f>
        <v>-92.214938200402642</v>
      </c>
    </row>
    <row r="45" spans="1:25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78" t="s">
        <v>16</v>
      </c>
      <c r="Y45" s="178" t="s">
        <v>16</v>
      </c>
    </row>
    <row r="46" spans="1:25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-4.5</v>
      </c>
      <c r="W46" s="182">
        <v>-4.5</v>
      </c>
      <c r="X46" s="182">
        <v>-6</v>
      </c>
      <c r="Y46" s="182">
        <v>-6</v>
      </c>
    </row>
    <row r="47" spans="1:2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78">
        <v>2</v>
      </c>
      <c r="Y47" s="178">
        <v>2</v>
      </c>
    </row>
    <row r="48" spans="1:25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78" t="s">
        <v>16</v>
      </c>
      <c r="Y48" s="178" t="s">
        <v>16</v>
      </c>
    </row>
    <row r="49" spans="1:2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78">
        <v>0</v>
      </c>
      <c r="Y49" s="178">
        <v>0</v>
      </c>
    </row>
    <row r="50" spans="1:25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83" t="s">
        <v>16</v>
      </c>
      <c r="Y50" s="183" t="s">
        <v>16</v>
      </c>
    </row>
    <row r="51" spans="1:25" ht="30">
      <c r="A51" s="8" t="s">
        <v>82</v>
      </c>
      <c r="B51" s="13">
        <f t="shared" ref="B51:I51" si="17">B44+B46+B47-B49</f>
        <v>-98.265394678904968</v>
      </c>
      <c r="C51" s="13">
        <f t="shared" si="17"/>
        <v>-98.265394678904968</v>
      </c>
      <c r="D51" s="13">
        <f t="shared" si="17"/>
        <v>-102.15629454882441</v>
      </c>
      <c r="E51" s="13">
        <f t="shared" si="17"/>
        <v>-102.15629454882441</v>
      </c>
      <c r="F51" s="86">
        <f t="shared" si="17"/>
        <v>-103.23576244513055</v>
      </c>
      <c r="G51" s="86">
        <f t="shared" si="17"/>
        <v>-103.19576244513054</v>
      </c>
      <c r="H51" s="13">
        <f t="shared" si="17"/>
        <v>-92.449285520497185</v>
      </c>
      <c r="I51" s="13">
        <f t="shared" si="17"/>
        <v>-92.619285520497186</v>
      </c>
      <c r="J51" s="124">
        <v>-108.86576244513054</v>
      </c>
      <c r="K51" s="124">
        <v>-108.86576244513054</v>
      </c>
      <c r="L51" s="178">
        <f t="shared" ref="L51:Q51" si="18">L44+L46+L47-L49</f>
        <v>-93.969285520497181</v>
      </c>
      <c r="M51" s="178">
        <f t="shared" si="18"/>
        <v>-93.969285520497181</v>
      </c>
      <c r="N51" s="176">
        <f t="shared" si="18"/>
        <v>-103.00576244513054</v>
      </c>
      <c r="O51" s="176">
        <f t="shared" si="18"/>
        <v>-103.00576244513054</v>
      </c>
      <c r="P51" s="176">
        <f t="shared" si="18"/>
        <v>-96.259285520497187</v>
      </c>
      <c r="Q51" s="176">
        <f t="shared" si="18"/>
        <v>-96.259285520497187</v>
      </c>
      <c r="R51" s="176">
        <f t="shared" ref="R51:W51" si="19">R44+R46+R47-R49</f>
        <v>-101.66576244513054</v>
      </c>
      <c r="S51" s="176">
        <f t="shared" si="19"/>
        <v>-101.66576244513054</v>
      </c>
      <c r="T51" s="178">
        <f t="shared" si="19"/>
        <v>-107.26576244513053</v>
      </c>
      <c r="U51" s="178">
        <f t="shared" si="19"/>
        <v>-107.26576244513053</v>
      </c>
      <c r="V51" s="178">
        <f t="shared" si="19"/>
        <v>-101.16576244513054</v>
      </c>
      <c r="W51" s="178">
        <f t="shared" si="19"/>
        <v>-101.16576244513054</v>
      </c>
      <c r="X51" s="178">
        <f>X44+X46+X47-X49</f>
        <v>-96.214938200402642</v>
      </c>
      <c r="Y51" s="178">
        <f>Y44+Y46+Y47-Y49</f>
        <v>-96.214938200402642</v>
      </c>
    </row>
    <row r="52" spans="1:25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5" t="s">
        <v>16</v>
      </c>
      <c r="Y52" s="195" t="s">
        <v>16</v>
      </c>
    </row>
    <row r="53" spans="1:25" ht="30">
      <c r="A53" s="45" t="s">
        <v>85</v>
      </c>
      <c r="B53" s="23">
        <f t="shared" ref="B53:I53" si="20">B26+B30+B33-B34-B51</f>
        <v>142.03660722610158</v>
      </c>
      <c r="C53" s="23">
        <f t="shared" si="20"/>
        <v>139.03660722610158</v>
      </c>
      <c r="D53" s="23">
        <f t="shared" si="20"/>
        <v>143.01750709602103</v>
      </c>
      <c r="E53" s="23">
        <f t="shared" si="20"/>
        <v>140.01750709602103</v>
      </c>
      <c r="F53" s="90">
        <f t="shared" si="20"/>
        <v>147.00697499232717</v>
      </c>
      <c r="G53" s="90">
        <f t="shared" si="20"/>
        <v>143.96697499232715</v>
      </c>
      <c r="H53" s="23">
        <f t="shared" si="20"/>
        <v>139.27199785089289</v>
      </c>
      <c r="I53" s="23">
        <f t="shared" si="20"/>
        <v>136.44199785089288</v>
      </c>
      <c r="J53" s="127">
        <v>152.63697499232717</v>
      </c>
      <c r="K53" s="127">
        <v>149.63697499232717</v>
      </c>
      <c r="L53" s="179">
        <f t="shared" ref="L53:Q53" si="21">L26+L30+L33-L34-L51</f>
        <v>140.79049806769382</v>
      </c>
      <c r="M53" s="179">
        <f t="shared" si="21"/>
        <v>137.79049806769382</v>
      </c>
      <c r="N53" s="179">
        <f t="shared" si="21"/>
        <v>146.77697499232715</v>
      </c>
      <c r="O53" s="179">
        <f t="shared" si="21"/>
        <v>143.77697499232715</v>
      </c>
      <c r="P53" s="179">
        <f t="shared" si="21"/>
        <v>140.03049806769383</v>
      </c>
      <c r="Q53" s="179">
        <f t="shared" si="21"/>
        <v>137.03049806769383</v>
      </c>
      <c r="R53" s="179">
        <f t="shared" ref="R53:W53" si="22">R26+R30+R33-R34-R51</f>
        <v>145.43697499232718</v>
      </c>
      <c r="S53" s="179">
        <f t="shared" si="22"/>
        <v>142.43697499232718</v>
      </c>
      <c r="T53" s="179">
        <f t="shared" si="22"/>
        <v>144.03697499232715</v>
      </c>
      <c r="U53" s="179">
        <f t="shared" si="22"/>
        <v>141.03697499232715</v>
      </c>
      <c r="V53" s="179">
        <f t="shared" si="22"/>
        <v>144.93697499232718</v>
      </c>
      <c r="W53" s="179">
        <f t="shared" si="22"/>
        <v>141.93697499232718</v>
      </c>
      <c r="X53" s="179">
        <f>X26+X30+X33-X34-X51</f>
        <v>139.98615074759925</v>
      </c>
      <c r="Y53" s="179">
        <f>Y26+Y30+Y33-Y34-Y51</f>
        <v>136.98615074759925</v>
      </c>
    </row>
    <row r="54" spans="1:2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</row>
    <row r="55" spans="1:2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86">
        <v>7</v>
      </c>
      <c r="Y55" s="186">
        <v>7</v>
      </c>
    </row>
    <row r="56" spans="1:25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83" t="s">
        <v>16</v>
      </c>
      <c r="Y56" s="183" t="s">
        <v>16</v>
      </c>
    </row>
    <row r="57" spans="1:25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86">
        <v>4.4800000000000004</v>
      </c>
      <c r="Y57" s="186">
        <v>4.4800000000000004</v>
      </c>
    </row>
    <row r="58" spans="1:2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</row>
    <row r="59" spans="1:2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86">
        <v>26.25</v>
      </c>
      <c r="Y59" s="186">
        <v>26.25</v>
      </c>
    </row>
    <row r="60" spans="1:2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</row>
    <row r="61" spans="1:25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5" t="s">
        <v>16</v>
      </c>
      <c r="Y61" s="195" t="s">
        <v>16</v>
      </c>
    </row>
    <row r="62" spans="1:25" ht="30">
      <c r="A62" s="45" t="s">
        <v>109</v>
      </c>
      <c r="B62" s="23">
        <f t="shared" ref="B62:I62" si="23">B53-B57+B58-B59+B60</f>
        <v>111.30660722610159</v>
      </c>
      <c r="C62" s="23">
        <f t="shared" si="23"/>
        <v>108.30660722610159</v>
      </c>
      <c r="D62" s="23">
        <f t="shared" si="23"/>
        <v>112.28750709602105</v>
      </c>
      <c r="E62" s="23">
        <f t="shared" si="23"/>
        <v>109.28750709602105</v>
      </c>
      <c r="F62" s="90">
        <f t="shared" si="23"/>
        <v>116.27697499232718</v>
      </c>
      <c r="G62" s="90">
        <f t="shared" si="23"/>
        <v>113.23697499232716</v>
      </c>
      <c r="H62" s="23">
        <f t="shared" si="23"/>
        <v>108.5419978508929</v>
      </c>
      <c r="I62" s="23">
        <f t="shared" si="23"/>
        <v>105.71199785089289</v>
      </c>
      <c r="J62" s="127">
        <v>121.90697499232718</v>
      </c>
      <c r="K62" s="127">
        <v>118.90697499232718</v>
      </c>
      <c r="L62" s="179">
        <f t="shared" ref="L62:Q62" si="24">L53-L57+L58-L59+L60</f>
        <v>110.06049806769383</v>
      </c>
      <c r="M62" s="179">
        <f t="shared" si="24"/>
        <v>107.06049806769383</v>
      </c>
      <c r="N62" s="179">
        <f t="shared" si="24"/>
        <v>116.04697499232716</v>
      </c>
      <c r="O62" s="179">
        <f t="shared" si="24"/>
        <v>113.04697499232716</v>
      </c>
      <c r="P62" s="179">
        <f t="shared" si="24"/>
        <v>109.30049806769384</v>
      </c>
      <c r="Q62" s="179">
        <f t="shared" si="24"/>
        <v>106.30049806769384</v>
      </c>
      <c r="R62" s="179">
        <f t="shared" ref="R62:W62" si="25">R53-R57+R58-R59+R60</f>
        <v>114.70697499232719</v>
      </c>
      <c r="S62" s="179">
        <f t="shared" si="25"/>
        <v>111.70697499232719</v>
      </c>
      <c r="T62" s="179">
        <f t="shared" si="25"/>
        <v>113.30697499232716</v>
      </c>
      <c r="U62" s="179">
        <f t="shared" si="25"/>
        <v>110.30697499232716</v>
      </c>
      <c r="V62" s="179">
        <f t="shared" si="25"/>
        <v>114.20697499232719</v>
      </c>
      <c r="W62" s="179">
        <f t="shared" si="25"/>
        <v>111.20697499232719</v>
      </c>
      <c r="X62" s="179">
        <f>X53-X57+X58-X59+X60</f>
        <v>109.25615074759926</v>
      </c>
      <c r="Y62" s="179">
        <f>Y53-Y57+Y58-Y59+Y60</f>
        <v>106.25615074759926</v>
      </c>
    </row>
    <row r="63" spans="1:25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</row>
    <row r="64" spans="1:25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5" t="s">
        <v>16</v>
      </c>
      <c r="Y64" s="195" t="s">
        <v>16</v>
      </c>
    </row>
    <row r="65" spans="1:25" ht="15">
      <c r="A65" s="45" t="s">
        <v>98</v>
      </c>
      <c r="B65" s="23">
        <f t="shared" ref="B65:I65" si="26">B17-B23-B51+B21+B33</f>
        <v>133.26539467890495</v>
      </c>
      <c r="C65" s="23">
        <f t="shared" si="26"/>
        <v>133.26539467890495</v>
      </c>
      <c r="D65" s="23">
        <f t="shared" si="26"/>
        <v>137.1962945488244</v>
      </c>
      <c r="E65" s="23">
        <f t="shared" si="26"/>
        <v>137.1962945488244</v>
      </c>
      <c r="F65" s="90">
        <f t="shared" si="26"/>
        <v>138.23576244513055</v>
      </c>
      <c r="G65" s="90">
        <f t="shared" si="26"/>
        <v>138.19576244513053</v>
      </c>
      <c r="H65" s="23">
        <f t="shared" si="26"/>
        <v>130.50078530369623</v>
      </c>
      <c r="I65" s="23">
        <f t="shared" si="26"/>
        <v>130.67078530369625</v>
      </c>
      <c r="J65" s="127">
        <v>143.86576244513054</v>
      </c>
      <c r="K65" s="127">
        <v>143.86576244513054</v>
      </c>
      <c r="L65" s="179">
        <f t="shared" ref="L65:Q65" si="27">L17-L23-L51+L21+L33</f>
        <v>132.01928552049719</v>
      </c>
      <c r="M65" s="179">
        <f t="shared" si="27"/>
        <v>132.01928552049719</v>
      </c>
      <c r="N65" s="179">
        <f t="shared" si="27"/>
        <v>138.00576244513053</v>
      </c>
      <c r="O65" s="179">
        <f t="shared" si="27"/>
        <v>138.00576244513053</v>
      </c>
      <c r="P65" s="179">
        <f t="shared" si="27"/>
        <v>131.2592855204972</v>
      </c>
      <c r="Q65" s="179">
        <f t="shared" si="27"/>
        <v>131.2592855204972</v>
      </c>
      <c r="R65" s="179">
        <f t="shared" ref="R65:W65" si="28">R17-R23-R51+R21+R33</f>
        <v>136.66576244513055</v>
      </c>
      <c r="S65" s="179">
        <f t="shared" si="28"/>
        <v>136.66576244513055</v>
      </c>
      <c r="T65" s="179">
        <f t="shared" si="28"/>
        <v>139.26576244513052</v>
      </c>
      <c r="U65" s="179">
        <f t="shared" si="28"/>
        <v>139.26576244513052</v>
      </c>
      <c r="V65" s="179">
        <f t="shared" si="28"/>
        <v>136.16576244513055</v>
      </c>
      <c r="W65" s="179">
        <f t="shared" si="28"/>
        <v>136.16576244513055</v>
      </c>
      <c r="X65" s="179">
        <f>X17-X23-X51+X21+X33</f>
        <v>131.21493820040263</v>
      </c>
      <c r="Y65" s="179">
        <f>Y17-Y23-Y51+Y21+Y33</f>
        <v>131.21493820040263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65"/>
  <sheetViews>
    <sheetView workbookViewId="0">
      <pane xSplit="1" ySplit="1" topLeftCell="AC2" activePane="bottomRight" state="frozen"/>
      <selection pane="topRight"/>
      <selection pane="bottomLeft"/>
      <selection pane="bottomRight" activeCell="AH1" sqref="AH1:AJ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2.25" style="3" customWidth="1"/>
    <col min="14" max="14" width="19.625" style="3" customWidth="1"/>
    <col min="15" max="15" width="18.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28" width="15.625" style="2" customWidth="1"/>
    <col min="29" max="30" width="15.625" style="3" customWidth="1"/>
    <col min="31" max="31" width="18.375" style="3" customWidth="1"/>
    <col min="32" max="33" width="16.125" style="3" customWidth="1"/>
    <col min="34" max="34" width="15.625" style="2" customWidth="1"/>
    <col min="35" max="36" width="15.625" style="3" customWidth="1"/>
    <col min="37" max="16384" width="9" style="3"/>
  </cols>
  <sheetData>
    <row r="1" spans="1:36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  <c r="AE1" s="202" t="s">
        <v>130</v>
      </c>
      <c r="AF1" s="202"/>
      <c r="AG1" s="202"/>
      <c r="AH1" s="202" t="s">
        <v>131</v>
      </c>
      <c r="AI1" s="202"/>
      <c r="AJ1" s="202"/>
    </row>
    <row r="2" spans="1:36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</row>
    <row r="3" spans="1:36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</row>
    <row r="4" spans="1:36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</row>
    <row r="5" spans="1:36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</row>
    <row r="6" spans="1:36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83" t="s">
        <v>16</v>
      </c>
      <c r="AI6" s="183" t="s">
        <v>16</v>
      </c>
      <c r="AJ6" s="183" t="s">
        <v>16</v>
      </c>
    </row>
    <row r="7" spans="1:36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81">
        <v>0.01</v>
      </c>
      <c r="AI7" s="181">
        <v>0.01</v>
      </c>
      <c r="AJ7" s="181">
        <v>0.01</v>
      </c>
    </row>
    <row r="8" spans="1:36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83" t="s">
        <v>16</v>
      </c>
      <c r="AI8" s="183" t="s">
        <v>16</v>
      </c>
      <c r="AJ8" s="183" t="s">
        <v>16</v>
      </c>
    </row>
    <row r="9" spans="1:36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</row>
    <row r="10" spans="1:36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</row>
    <row r="11" spans="1:36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77"/>
      <c r="AI11" s="177"/>
      <c r="AJ11" s="177"/>
    </row>
    <row r="12" spans="1:36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</row>
    <row r="13" spans="1:36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</row>
    <row r="14" spans="1:36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</row>
    <row r="15" spans="1:36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204">
        <v>24</v>
      </c>
      <c r="AI15" s="204">
        <v>24</v>
      </c>
      <c r="AJ15" s="204">
        <v>24</v>
      </c>
    </row>
    <row r="16" spans="1:36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J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</row>
    <row r="17" spans="1:36" ht="30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J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36.375437381428746</v>
      </c>
      <c r="AI17" s="178">
        <f t="shared" si="7"/>
        <v>36.375437381428746</v>
      </c>
      <c r="AJ17" s="178">
        <f t="shared" si="7"/>
        <v>36.375437381428746</v>
      </c>
    </row>
    <row r="18" spans="1:36" ht="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J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</row>
    <row r="19" spans="1:36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</row>
    <row r="20" spans="1:36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</row>
    <row r="21" spans="1:36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2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12</v>
      </c>
      <c r="AF21" s="169">
        <v>12</v>
      </c>
      <c r="AG21" s="169">
        <v>12</v>
      </c>
      <c r="AH21" s="182">
        <v>7</v>
      </c>
      <c r="AI21" s="182">
        <v>7</v>
      </c>
      <c r="AJ21" s="182">
        <v>7</v>
      </c>
    </row>
    <row r="22" spans="1:36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</row>
    <row r="23" spans="1:36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</row>
    <row r="24" spans="1:36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</row>
    <row r="25" spans="1:36" ht="15">
      <c r="A25" s="8" t="s">
        <v>49</v>
      </c>
      <c r="B25" s="29">
        <f t="shared" ref="B25:L25" si="13">B17+B18+B21+B22-B24</f>
        <v>63.146649928625379</v>
      </c>
      <c r="C25" s="29">
        <f t="shared" si="13"/>
        <v>63.146649928625379</v>
      </c>
      <c r="D25" s="29">
        <f t="shared" si="13"/>
        <v>63.146649928625379</v>
      </c>
      <c r="E25" s="29">
        <f t="shared" si="13"/>
        <v>44.806649928625369</v>
      </c>
      <c r="F25" s="29">
        <f t="shared" si="13"/>
        <v>44.806649928625369</v>
      </c>
      <c r="G25" s="73">
        <f t="shared" si="13"/>
        <v>54.146649928625372</v>
      </c>
      <c r="H25" s="73">
        <f t="shared" si="13"/>
        <v>54.146649928625372</v>
      </c>
      <c r="I25" s="73">
        <f t="shared" si="13"/>
        <v>54.146649928625372</v>
      </c>
      <c r="J25" s="13">
        <f t="shared" si="13"/>
        <v>59.548149711824436</v>
      </c>
      <c r="K25" s="13">
        <f t="shared" si="13"/>
        <v>59.548149711824436</v>
      </c>
      <c r="L25" s="13">
        <f t="shared" si="13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54.146649928625372</v>
      </c>
      <c r="T25" s="166">
        <f t="shared" si="14"/>
        <v>54.146649928625372</v>
      </c>
      <c r="U25" s="166">
        <f t="shared" si="14"/>
        <v>54.146649928625372</v>
      </c>
      <c r="V25" s="166">
        <f t="shared" ref="V25:AA25" si="15">V17+V18+V21+V22-V24</f>
        <v>63.146649928625379</v>
      </c>
      <c r="W25" s="166">
        <f t="shared" si="15"/>
        <v>63.146649928625379</v>
      </c>
      <c r="X25" s="166">
        <f t="shared" si="15"/>
        <v>63.146649928625379</v>
      </c>
      <c r="Y25" s="166">
        <f t="shared" si="15"/>
        <v>54.146649928625372</v>
      </c>
      <c r="Z25" s="166">
        <f t="shared" si="15"/>
        <v>54.146649928625372</v>
      </c>
      <c r="AA25" s="166">
        <f t="shared" si="15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J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78">
        <f t="shared" si="16"/>
        <v>53.146649928625372</v>
      </c>
      <c r="AI25" s="178">
        <f t="shared" si="16"/>
        <v>53.146649928625372</v>
      </c>
      <c r="AJ25" s="178">
        <f t="shared" si="16"/>
        <v>53.146649928625372</v>
      </c>
    </row>
    <row r="26" spans="1:36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83" t="s">
        <v>16</v>
      </c>
      <c r="AI26" s="183" t="s">
        <v>16</v>
      </c>
      <c r="AJ26" s="183" t="s">
        <v>16</v>
      </c>
    </row>
    <row r="27" spans="1:36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</row>
    <row r="28" spans="1:36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</row>
    <row r="29" spans="1:36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</row>
    <row r="30" spans="1:36" ht="45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40">
        <v>0</v>
      </c>
      <c r="N30" s="140">
        <v>-3</v>
      </c>
      <c r="O30" s="140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J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</row>
    <row r="31" spans="1:36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</row>
    <row r="32" spans="1:36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</row>
    <row r="33" spans="1:36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</row>
    <row r="34" spans="1:36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</row>
    <row r="35" spans="1:36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</row>
    <row r="36" spans="1:36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</row>
    <row r="37" spans="1:36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86">
        <v>-164.99</v>
      </c>
      <c r="AI37" s="186">
        <v>-164.99</v>
      </c>
      <c r="AJ37" s="186">
        <v>-164.99</v>
      </c>
    </row>
    <row r="38" spans="1:36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78" t="s">
        <v>16</v>
      </c>
      <c r="AI38" s="178" t="s">
        <v>16</v>
      </c>
      <c r="AJ38" s="178" t="s">
        <v>16</v>
      </c>
    </row>
    <row r="39" spans="1:36" ht="30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J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78">
        <f t="shared" si="24"/>
        <v>-162.86943987346325</v>
      </c>
      <c r="AI39" s="178">
        <f t="shared" si="24"/>
        <v>-162.86943987346325</v>
      </c>
      <c r="AJ39" s="178">
        <f t="shared" si="24"/>
        <v>-162.86943987346325</v>
      </c>
    </row>
    <row r="40" spans="1:36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83" t="s">
        <v>16</v>
      </c>
      <c r="AI40" s="183" t="s">
        <v>16</v>
      </c>
      <c r="AJ40" s="183" t="s">
        <v>16</v>
      </c>
    </row>
    <row r="41" spans="1:36" ht="15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J41" si="28">48*360*1000</f>
        <v>17280000</v>
      </c>
      <c r="AF41" s="164">
        <f t="shared" si="28"/>
        <v>17280000</v>
      </c>
      <c r="AG41" s="164">
        <f t="shared" si="28"/>
        <v>17280000</v>
      </c>
      <c r="AH41" s="178">
        <f t="shared" si="28"/>
        <v>17280000</v>
      </c>
      <c r="AI41" s="178">
        <f t="shared" si="28"/>
        <v>17280000</v>
      </c>
      <c r="AJ41" s="178">
        <f t="shared" si="28"/>
        <v>17280000</v>
      </c>
    </row>
    <row r="42" spans="1:36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78" t="s">
        <v>16</v>
      </c>
      <c r="AI42" s="178" t="s">
        <v>16</v>
      </c>
      <c r="AJ42" s="178" t="s">
        <v>16</v>
      </c>
    </row>
    <row r="43" spans="1:36" ht="15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J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78">
        <f t="shared" si="32"/>
        <v>-90.494002492034511</v>
      </c>
      <c r="AI43" s="178">
        <f t="shared" si="32"/>
        <v>-90.494002492034511</v>
      </c>
      <c r="AJ43" s="178">
        <f t="shared" si="32"/>
        <v>-90.494002492034511</v>
      </c>
    </row>
    <row r="44" spans="1:36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83" t="s">
        <v>16</v>
      </c>
      <c r="AI44" s="183" t="s">
        <v>16</v>
      </c>
      <c r="AJ44" s="183" t="s">
        <v>16</v>
      </c>
    </row>
    <row r="45" spans="1:36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  <c r="AH45" s="182">
        <v>-11.7</v>
      </c>
      <c r="AI45" s="182">
        <v>-9.1999999999999993</v>
      </c>
      <c r="AJ45" s="182">
        <v>-5.9</v>
      </c>
    </row>
    <row r="46" spans="1:36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78" t="s">
        <v>16</v>
      </c>
      <c r="AI46" s="178" t="s">
        <v>16</v>
      </c>
      <c r="AJ46" s="178" t="s">
        <v>16</v>
      </c>
    </row>
    <row r="47" spans="1:36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</row>
    <row r="48" spans="1:36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78">
        <v>0</v>
      </c>
      <c r="AI48" s="178">
        <v>0</v>
      </c>
      <c r="AJ48" s="178">
        <v>0</v>
      </c>
    </row>
    <row r="49" spans="1:36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83" t="s">
        <v>16</v>
      </c>
      <c r="AI49" s="183" t="s">
        <v>16</v>
      </c>
      <c r="AJ49" s="183" t="s">
        <v>16</v>
      </c>
    </row>
    <row r="50" spans="1:36" ht="30">
      <c r="A50" s="8" t="s">
        <v>80</v>
      </c>
      <c r="B50" s="29">
        <f t="shared" ref="B50:L50" si="33">B43+B45+B47-B48</f>
        <v>-103.72456261857128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-102.62456261857129</v>
      </c>
      <c r="Z50" s="166">
        <f t="shared" si="35"/>
        <v>-99.624562618571289</v>
      </c>
      <c r="AA50" s="166">
        <f t="shared" si="35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J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78">
        <f t="shared" si="36"/>
        <v>-100.19400249203451</v>
      </c>
      <c r="AI50" s="178">
        <f t="shared" si="36"/>
        <v>-97.694002492034514</v>
      </c>
      <c r="AJ50" s="178">
        <f t="shared" si="36"/>
        <v>-94.394002492034517</v>
      </c>
    </row>
    <row r="51" spans="1:36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83" t="s">
        <v>16</v>
      </c>
      <c r="AI51" s="183" t="s">
        <v>16</v>
      </c>
      <c r="AJ51" s="183" t="s">
        <v>16</v>
      </c>
    </row>
    <row r="52" spans="1:36" ht="30">
      <c r="A52" s="22" t="s">
        <v>83</v>
      </c>
      <c r="B52" s="37">
        <f t="shared" ref="B52:G52" si="37">B25+B30+B33-B34-B50</f>
        <v>165.87121254719665</v>
      </c>
      <c r="C52" s="37">
        <f t="shared" si="37"/>
        <v>160.07121254719667</v>
      </c>
      <c r="D52" s="37">
        <f t="shared" si="37"/>
        <v>156.57121254719667</v>
      </c>
      <c r="E52" s="37">
        <f t="shared" si="37"/>
        <v>147.79121254719666</v>
      </c>
      <c r="F52" s="37">
        <f t="shared" si="37"/>
        <v>138.56121254719665</v>
      </c>
      <c r="G52" s="78">
        <f t="shared" si="37"/>
        <v>158.45121254719666</v>
      </c>
      <c r="H52" s="78">
        <f t="shared" ref="H52:K52" si="38">H25+H30+H33-H34-H50</f>
        <v>152.15121254719665</v>
      </c>
      <c r="I52" s="78">
        <f t="shared" si="38"/>
        <v>148.18121254719665</v>
      </c>
      <c r="J52" s="23">
        <f t="shared" si="38"/>
        <v>157.6619006897061</v>
      </c>
      <c r="K52" s="23">
        <f t="shared" si="38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156.78121254719667</v>
      </c>
      <c r="T52" s="171">
        <f t="shared" ref="T52:U52" si="40">T25+T30+T33-T34-T50</f>
        <v>150.85121254719667</v>
      </c>
      <c r="U52" s="171">
        <f t="shared" si="40"/>
        <v>147.57121254719667</v>
      </c>
      <c r="V52" s="171">
        <f>V25+V30+V33-V34-V50</f>
        <v>164.01040090650702</v>
      </c>
      <c r="W52" s="171">
        <f t="shared" ref="W52:X52" si="41">W25+W30+W33-W34-W50</f>
        <v>158.03040090650703</v>
      </c>
      <c r="X52" s="171">
        <f t="shared" si="41"/>
        <v>154.54040090650705</v>
      </c>
      <c r="Y52" s="171">
        <f>Y25+Y30+Y33-Y34-Y50</f>
        <v>155.77121254719665</v>
      </c>
      <c r="Z52" s="171">
        <f t="shared" ref="Z52:AA52" si="42">Z25+Z30+Z33-Z34-Z50</f>
        <v>149.77121254719665</v>
      </c>
      <c r="AA52" s="171">
        <f t="shared" si="42"/>
        <v>146.77121254719665</v>
      </c>
      <c r="AB52" s="179">
        <f>AB25+AB30+AB33-AB34-AB50</f>
        <v>148.97121254719667</v>
      </c>
      <c r="AC52" s="179">
        <f t="shared" ref="AC52:AD52" si="43">AC25+AC30+AC33-AC34-AC50</f>
        <v>142.77121254719665</v>
      </c>
      <c r="AD52" s="179">
        <f t="shared" si="43"/>
        <v>139.67121254719666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9">
        <f>AH25+AH30+AH33-AH34-AH50</f>
        <v>152.34065242065989</v>
      </c>
      <c r="AI52" s="179">
        <f t="shared" ref="AI52:AJ52" si="45">AI25+AI30+AI33-AI34-AI50</f>
        <v>146.84065242065989</v>
      </c>
      <c r="AJ52" s="179">
        <f t="shared" si="45"/>
        <v>143.54065242065988</v>
      </c>
    </row>
    <row r="53" spans="1:36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5" t="s">
        <v>16</v>
      </c>
      <c r="AI53" s="195" t="s">
        <v>16</v>
      </c>
      <c r="AJ53" s="195" t="s">
        <v>16</v>
      </c>
    </row>
    <row r="54" spans="1:36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</row>
    <row r="55" spans="1:36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</row>
    <row r="56" spans="1:36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86">
        <v>7.56</v>
      </c>
      <c r="AI56" s="186">
        <v>7.56</v>
      </c>
      <c r="AJ56" s="186">
        <v>7.56</v>
      </c>
    </row>
    <row r="57" spans="1:36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83" t="s">
        <v>16</v>
      </c>
      <c r="AI57" s="183" t="s">
        <v>16</v>
      </c>
      <c r="AJ57" s="183" t="s">
        <v>16</v>
      </c>
    </row>
    <row r="58" spans="1:36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</row>
    <row r="59" spans="1:36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</row>
    <row r="60" spans="1:36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</row>
    <row r="61" spans="1:36" ht="30">
      <c r="A61" s="22" t="s">
        <v>108</v>
      </c>
      <c r="B61" s="37">
        <f t="shared" ref="B61:G61" si="46">B52-B56+B58-B59+B60</f>
        <v>132.06121254719665</v>
      </c>
      <c r="C61" s="37">
        <f t="shared" si="46"/>
        <v>126.26121254719666</v>
      </c>
      <c r="D61" s="37">
        <f t="shared" si="46"/>
        <v>122.76121254719666</v>
      </c>
      <c r="E61" s="37">
        <f t="shared" si="46"/>
        <v>113.98121254719666</v>
      </c>
      <c r="F61" s="37">
        <f t="shared" si="46"/>
        <v>104.75121254719664</v>
      </c>
      <c r="G61" s="78">
        <f t="shared" si="46"/>
        <v>124.64121254719666</v>
      </c>
      <c r="H61" s="78">
        <f t="shared" ref="H61:K61" si="47">H52-H56+H58-H59+H60</f>
        <v>118.34121254719665</v>
      </c>
      <c r="I61" s="78">
        <f t="shared" si="47"/>
        <v>114.37121254719665</v>
      </c>
      <c r="J61" s="23">
        <f t="shared" si="47"/>
        <v>123.8519006897061</v>
      </c>
      <c r="K61" s="23">
        <f t="shared" si="47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48">Q52-Q56+Q58-Q59+Q60</f>
        <v>128.680400906507</v>
      </c>
      <c r="R61" s="171">
        <f t="shared" si="48"/>
        <v>124.680400906507</v>
      </c>
      <c r="S61" s="171">
        <f>S52-S56+S58-S59+S60</f>
        <v>122.97121254719667</v>
      </c>
      <c r="T61" s="171">
        <f t="shared" ref="T61:U61" si="49">T52-T56+T58-T59+T60</f>
        <v>117.04121254719666</v>
      </c>
      <c r="U61" s="171">
        <f t="shared" si="49"/>
        <v>113.76121254719666</v>
      </c>
      <c r="V61" s="171">
        <f>V52-V56+V58-V59+V60</f>
        <v>130.20040090650701</v>
      </c>
      <c r="W61" s="171">
        <f t="shared" ref="W61:X61" si="50">W52-W56+W58-W59+W60</f>
        <v>124.22040090650702</v>
      </c>
      <c r="X61" s="171">
        <f t="shared" si="50"/>
        <v>120.73040090650704</v>
      </c>
      <c r="Y61" s="171">
        <f>Y52-Y56+Y58-Y59+Y60</f>
        <v>121.96121254719665</v>
      </c>
      <c r="Z61" s="171">
        <f t="shared" ref="Z61:AA61" si="51">Z52-Z56+Z58-Z59+Z60</f>
        <v>115.96121254719665</v>
      </c>
      <c r="AA61" s="171">
        <f t="shared" si="51"/>
        <v>112.96121254719665</v>
      </c>
      <c r="AB61" s="179">
        <f>AB52-AB56+AB58-AB59+AB60</f>
        <v>115.16121254719667</v>
      </c>
      <c r="AC61" s="179">
        <f t="shared" ref="AC61:AD61" si="52">AC52-AC56+AC58-AC59+AC60</f>
        <v>108.96121254719665</v>
      </c>
      <c r="AD61" s="179">
        <f t="shared" si="52"/>
        <v>105.86121254719666</v>
      </c>
      <c r="AE61" s="171">
        <f>AE52-AE56+AE58-AE59+AE60</f>
        <v>125.66121254719667</v>
      </c>
      <c r="AF61" s="171">
        <f t="shared" ref="AF61:AG61" si="53">AF52-AF56+AF58-AF59+AF60</f>
        <v>119.96121254719665</v>
      </c>
      <c r="AG61" s="171">
        <f t="shared" si="53"/>
        <v>116.76121254719666</v>
      </c>
      <c r="AH61" s="179">
        <f>AH52-AH56+AH58-AH59+AH60</f>
        <v>118.53065242065989</v>
      </c>
      <c r="AI61" s="179">
        <f t="shared" ref="AI61:AJ61" si="54">AI52-AI56+AI58-AI59+AI60</f>
        <v>113.03065242065989</v>
      </c>
      <c r="AJ61" s="179">
        <f t="shared" si="54"/>
        <v>109.73065242065988</v>
      </c>
    </row>
    <row r="62" spans="1:36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5" t="s">
        <v>16</v>
      </c>
      <c r="AI62" s="195" t="s">
        <v>16</v>
      </c>
      <c r="AJ62" s="195" t="s">
        <v>16</v>
      </c>
    </row>
    <row r="63" spans="1:36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</row>
    <row r="64" spans="1:36" ht="15">
      <c r="A64" s="22" t="s">
        <v>97</v>
      </c>
      <c r="B64" s="37">
        <f t="shared" ref="B64:L64" si="55">B17+B22-B50+B21+B33</f>
        <v>157.10000000000002</v>
      </c>
      <c r="C64" s="37">
        <f t="shared" si="55"/>
        <v>154.30000000000004</v>
      </c>
      <c r="D64" s="37">
        <f t="shared" si="55"/>
        <v>150.80000000000004</v>
      </c>
      <c r="E64" s="37">
        <f t="shared" si="55"/>
        <v>141.97000000000006</v>
      </c>
      <c r="F64" s="37">
        <f t="shared" si="55"/>
        <v>135.74000000000004</v>
      </c>
      <c r="G64" s="78">
        <f t="shared" si="55"/>
        <v>149.68000000000004</v>
      </c>
      <c r="H64" s="78">
        <f t="shared" si="55"/>
        <v>146.38000000000002</v>
      </c>
      <c r="I64" s="78">
        <f t="shared" si="55"/>
        <v>142.41000000000003</v>
      </c>
      <c r="J64" s="23">
        <f t="shared" si="55"/>
        <v>151.54068814250945</v>
      </c>
      <c r="K64" s="23">
        <f t="shared" si="55"/>
        <v>148.90068814250947</v>
      </c>
      <c r="L64" s="23">
        <f t="shared" si="55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56">P17+P22-P50+P21+P33</f>
        <v>159.6391883593104</v>
      </c>
      <c r="Q64" s="171">
        <f t="shared" si="56"/>
        <v>156.73918835931042</v>
      </c>
      <c r="R64" s="171">
        <f t="shared" si="56"/>
        <v>152.73918835931042</v>
      </c>
      <c r="S64" s="171">
        <f t="shared" si="56"/>
        <v>148.01000000000005</v>
      </c>
      <c r="T64" s="171">
        <f t="shared" si="56"/>
        <v>145.08000000000004</v>
      </c>
      <c r="U64" s="171">
        <f t="shared" si="56"/>
        <v>141.80000000000004</v>
      </c>
      <c r="V64" s="171">
        <f t="shared" ref="V64:AA64" si="57">V17+V22-V50+V21+V33</f>
        <v>155.23918835931039</v>
      </c>
      <c r="W64" s="171">
        <f t="shared" si="57"/>
        <v>152.2591883593104</v>
      </c>
      <c r="X64" s="171">
        <f t="shared" si="57"/>
        <v>148.76918835931039</v>
      </c>
      <c r="Y64" s="171">
        <f t="shared" si="57"/>
        <v>147.00000000000003</v>
      </c>
      <c r="Z64" s="171">
        <f t="shared" si="57"/>
        <v>144.00000000000003</v>
      </c>
      <c r="AA64" s="171">
        <f t="shared" si="57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J64" si="58">AE17+AE22-AE50+AE21+AE33</f>
        <v>150.70000000000005</v>
      </c>
      <c r="AF64" s="171">
        <f t="shared" si="58"/>
        <v>148.00000000000003</v>
      </c>
      <c r="AG64" s="171">
        <f t="shared" si="58"/>
        <v>144.80000000000004</v>
      </c>
      <c r="AH64" s="179">
        <f t="shared" si="58"/>
        <v>143.56943987346327</v>
      </c>
      <c r="AI64" s="179">
        <f t="shared" si="58"/>
        <v>141.06943987346327</v>
      </c>
      <c r="AJ64" s="179">
        <f t="shared" si="58"/>
        <v>137.76943987346326</v>
      </c>
    </row>
    <row r="65" spans="1:36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5" t="s">
        <v>16</v>
      </c>
      <c r="AI65" s="195" t="s">
        <v>16</v>
      </c>
      <c r="AJ65" s="195" t="s">
        <v>16</v>
      </c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caa248ac-567e-4f8a-83ad-95641c120e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0c1c198-6772-4070-9fed-c99b54821f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2006-01-19T03:50:00Z</cp:lastPrinted>
  <dcterms:created xsi:type="dcterms:W3CDTF">2003-11-11T03:59:00Z</dcterms:created>
  <dcterms:modified xsi:type="dcterms:W3CDTF">2020-10-22T02:10:50Z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