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 documents\標準化関連\20201001 RAN1#103_e\Meeting\RedCap\4GHz\"/>
    </mc:Choice>
  </mc:AlternateContent>
  <bookViews>
    <workbookView xWindow="-120" yWindow="-120" windowWidth="29040" windowHeight="15990" tabRatio="774" firstSheet="2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54" l="1"/>
  <c r="O51" i="54" s="1"/>
  <c r="O65" i="54" s="1"/>
  <c r="N44" i="54"/>
  <c r="N51" i="54" s="1"/>
  <c r="N65" i="54" s="1"/>
  <c r="O42" i="54"/>
  <c r="N42" i="54"/>
  <c r="O40" i="54"/>
  <c r="N40" i="54"/>
  <c r="O30" i="54"/>
  <c r="N30" i="54"/>
  <c r="O18" i="54"/>
  <c r="O26" i="54" s="1"/>
  <c r="O53" i="54" s="1"/>
  <c r="O62" i="54" s="1"/>
  <c r="N18" i="54"/>
  <c r="N26" i="54" s="1"/>
  <c r="N53" i="54" s="1"/>
  <c r="N62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S65" i="53" s="1"/>
  <c r="U16" i="53"/>
  <c r="T16" i="53"/>
  <c r="S16" i="53"/>
  <c r="U42" i="52"/>
  <c r="U17" i="52" s="1"/>
  <c r="T42" i="52"/>
  <c r="S42" i="52"/>
  <c r="U40" i="52"/>
  <c r="U44" i="52" s="1"/>
  <c r="U51" i="52" s="1"/>
  <c r="T40" i="52"/>
  <c r="T44" i="52" s="1"/>
  <c r="T51" i="52" s="1"/>
  <c r="S40" i="52"/>
  <c r="S44" i="52" s="1"/>
  <c r="S51" i="52" s="1"/>
  <c r="U30" i="52"/>
  <c r="T30" i="52"/>
  <c r="S30" i="52"/>
  <c r="U18" i="52"/>
  <c r="T18" i="52"/>
  <c r="S18" i="52"/>
  <c r="T17" i="52"/>
  <c r="T65" i="52" s="1"/>
  <c r="S17" i="52"/>
  <c r="S65" i="52" s="1"/>
  <c r="U16" i="52"/>
  <c r="T16" i="52"/>
  <c r="S16" i="52"/>
  <c r="U41" i="51"/>
  <c r="T41" i="51"/>
  <c r="S41" i="5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7" i="51"/>
  <c r="U64" i="51" s="1"/>
  <c r="T17" i="51"/>
  <c r="T64" i="51" s="1"/>
  <c r="S17" i="51"/>
  <c r="S64" i="51" s="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3" i="48"/>
  <c r="K50" i="48" s="1"/>
  <c r="K64" i="48" s="1"/>
  <c r="K41" i="48"/>
  <c r="J41" i="48"/>
  <c r="K39" i="48"/>
  <c r="J39" i="48"/>
  <c r="J43" i="48" s="1"/>
  <c r="J50" i="48" s="1"/>
  <c r="J64" i="48" s="1"/>
  <c r="K30" i="48"/>
  <c r="J30" i="48"/>
  <c r="K25" i="48"/>
  <c r="K52" i="48" s="1"/>
  <c r="K61" i="48" s="1"/>
  <c r="K18" i="48"/>
  <c r="J18" i="48"/>
  <c r="J25" i="48" s="1"/>
  <c r="J52" i="48" s="1"/>
  <c r="J61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L52" i="47" s="1"/>
  <c r="L61" i="47" s="1"/>
  <c r="U42" i="46"/>
  <c r="U17" i="46" s="1"/>
  <c r="T42" i="46"/>
  <c r="S42" i="46"/>
  <c r="U40" i="46"/>
  <c r="U44" i="46" s="1"/>
  <c r="U51" i="46" s="1"/>
  <c r="T40" i="46"/>
  <c r="T44" i="46" s="1"/>
  <c r="T51" i="46" s="1"/>
  <c r="S40" i="46"/>
  <c r="S44" i="46" s="1"/>
  <c r="S51" i="46" s="1"/>
  <c r="U30" i="46"/>
  <c r="T30" i="46"/>
  <c r="S30" i="46"/>
  <c r="U18" i="46"/>
  <c r="T18" i="46"/>
  <c r="S18" i="46"/>
  <c r="T17" i="46"/>
  <c r="S17" i="46"/>
  <c r="U16" i="46"/>
  <c r="T16" i="46"/>
  <c r="S16" i="46"/>
  <c r="U41" i="32"/>
  <c r="T41" i="32"/>
  <c r="S41" i="32"/>
  <c r="U39" i="32"/>
  <c r="U43" i="32" s="1"/>
  <c r="U50" i="32" s="1"/>
  <c r="T39" i="32"/>
  <c r="T43" i="32" s="1"/>
  <c r="T50" i="32" s="1"/>
  <c r="T64" i="32" s="1"/>
  <c r="S39" i="32"/>
  <c r="S43" i="32" s="1"/>
  <c r="S50" i="32" s="1"/>
  <c r="U30" i="32"/>
  <c r="T30" i="32"/>
  <c r="S30" i="32"/>
  <c r="U18" i="32"/>
  <c r="T18" i="32"/>
  <c r="S18" i="32"/>
  <c r="U17" i="32"/>
  <c r="T17" i="32"/>
  <c r="T25" i="32" s="1"/>
  <c r="S17" i="32"/>
  <c r="U16" i="32"/>
  <c r="T16" i="32"/>
  <c r="S16" i="32"/>
  <c r="U65" i="53" l="1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T52" i="51" s="1"/>
  <c r="T61" i="51" s="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T52" i="32"/>
  <c r="T61" i="32" s="1"/>
  <c r="U64" i="32"/>
  <c r="S25" i="32"/>
  <c r="S52" i="32" s="1"/>
  <c r="S61" i="32" s="1"/>
  <c r="U25" i="32"/>
  <c r="U52" i="32" s="1"/>
  <c r="U61" i="32" s="1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4" i="53"/>
  <c r="R51" i="53" s="1"/>
  <c r="R42" i="53"/>
  <c r="R17" i="53" s="1"/>
  <c r="Q42" i="53"/>
  <c r="Q17" i="53" s="1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Q44" i="52"/>
  <c r="Q51" i="52" s="1"/>
  <c r="P44" i="52"/>
  <c r="P51" i="52" s="1"/>
  <c r="R42" i="52"/>
  <c r="R44" i="52" s="1"/>
  <c r="R51" i="52" s="1"/>
  <c r="Q42" i="52"/>
  <c r="P42" i="52"/>
  <c r="R40" i="52"/>
  <c r="Q40" i="52"/>
  <c r="P40" i="52"/>
  <c r="R30" i="52"/>
  <c r="Q30" i="52"/>
  <c r="P30" i="52"/>
  <c r="R18" i="52"/>
  <c r="Q18" i="52"/>
  <c r="P18" i="52"/>
  <c r="P26" i="52" s="1"/>
  <c r="P53" i="52" s="1"/>
  <c r="P62" i="52" s="1"/>
  <c r="Q17" i="52"/>
  <c r="Q65" i="52" s="1"/>
  <c r="P17" i="52"/>
  <c r="P65" i="52" s="1"/>
  <c r="R16" i="52"/>
  <c r="Q16" i="52"/>
  <c r="P16" i="52"/>
  <c r="R41" i="51"/>
  <c r="R17" i="51" s="1"/>
  <c r="Q41" i="51"/>
  <c r="P41" i="51"/>
  <c r="R39" i="51"/>
  <c r="Q39" i="51"/>
  <c r="Q43" i="51" s="1"/>
  <c r="Q50" i="51" s="1"/>
  <c r="P39" i="51"/>
  <c r="P43" i="51" s="1"/>
  <c r="P50" i="51" s="1"/>
  <c r="R30" i="51"/>
  <c r="Q30" i="51"/>
  <c r="P30" i="51"/>
  <c r="R18" i="51"/>
  <c r="Q18" i="51"/>
  <c r="P18" i="51"/>
  <c r="P25" i="51" s="1"/>
  <c r="Q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M53" i="50" s="1"/>
  <c r="M62" i="50" s="1"/>
  <c r="L18" i="50"/>
  <c r="L26" i="50" s="1"/>
  <c r="L53" i="50" s="1"/>
  <c r="L62" i="50" s="1"/>
  <c r="K41" i="49"/>
  <c r="K43" i="49" s="1"/>
  <c r="K50" i="49" s="1"/>
  <c r="K64" i="49" s="1"/>
  <c r="J41" i="49"/>
  <c r="K39" i="49"/>
  <c r="J39" i="49"/>
  <c r="J43" i="49" s="1"/>
  <c r="J50" i="49" s="1"/>
  <c r="J64" i="49" s="1"/>
  <c r="K30" i="49"/>
  <c r="J30" i="49"/>
  <c r="J25" i="49"/>
  <c r="J52" i="49" s="1"/>
  <c r="J61" i="49" s="1"/>
  <c r="K18" i="49"/>
  <c r="K25" i="49" s="1"/>
  <c r="J18" i="49"/>
  <c r="K41" i="47"/>
  <c r="J41" i="47"/>
  <c r="K39" i="47"/>
  <c r="K43" i="47" s="1"/>
  <c r="K50" i="47" s="1"/>
  <c r="K64" i="47" s="1"/>
  <c r="J39" i="47"/>
  <c r="J43" i="47" s="1"/>
  <c r="J50" i="47" s="1"/>
  <c r="J64" i="47" s="1"/>
  <c r="K30" i="47"/>
  <c r="J30" i="47"/>
  <c r="K18" i="47"/>
  <c r="K25" i="47" s="1"/>
  <c r="J18" i="47"/>
  <c r="J25" i="47" s="1"/>
  <c r="R42" i="46"/>
  <c r="Q42" i="46"/>
  <c r="Q17" i="46" s="1"/>
  <c r="P42" i="46"/>
  <c r="R40" i="46"/>
  <c r="R44" i="46" s="1"/>
  <c r="R51" i="46" s="1"/>
  <c r="R65" i="46" s="1"/>
  <c r="Q40" i="46"/>
  <c r="Q44" i="46" s="1"/>
  <c r="Q51" i="46" s="1"/>
  <c r="P40" i="46"/>
  <c r="P44" i="46" s="1"/>
  <c r="P51" i="46" s="1"/>
  <c r="R30" i="46"/>
  <c r="Q30" i="46"/>
  <c r="P30" i="46"/>
  <c r="R26" i="46"/>
  <c r="R18" i="46"/>
  <c r="Q18" i="46"/>
  <c r="P18" i="46"/>
  <c r="R17" i="46"/>
  <c r="P17" i="46"/>
  <c r="R16" i="46"/>
  <c r="Q16" i="46"/>
  <c r="P16" i="46"/>
  <c r="Q50" i="32"/>
  <c r="Q43" i="32"/>
  <c r="P43" i="32"/>
  <c r="P50" i="32" s="1"/>
  <c r="R41" i="32"/>
  <c r="Q41" i="32"/>
  <c r="Q17" i="32" s="1"/>
  <c r="P41" i="32"/>
  <c r="P17" i="32" s="1"/>
  <c r="R39" i="32"/>
  <c r="R43" i="32" s="1"/>
  <c r="R50" i="32" s="1"/>
  <c r="Q39" i="32"/>
  <c r="P39" i="32"/>
  <c r="R30" i="32"/>
  <c r="Q30" i="32"/>
  <c r="P30" i="32"/>
  <c r="R18" i="32"/>
  <c r="Q18" i="32"/>
  <c r="P18" i="32"/>
  <c r="R17" i="32"/>
  <c r="R64" i="32" s="1"/>
  <c r="R16" i="32"/>
  <c r="Q16" i="32"/>
  <c r="P16" i="32"/>
  <c r="R65" i="53" l="1"/>
  <c r="R26" i="53"/>
  <c r="R53" i="53" s="1"/>
  <c r="R62" i="53" s="1"/>
  <c r="P65" i="53"/>
  <c r="P26" i="53"/>
  <c r="P53" i="53" s="1"/>
  <c r="P62" i="53" s="1"/>
  <c r="Q65" i="53"/>
  <c r="Q26" i="53"/>
  <c r="Q53" i="53" s="1"/>
  <c r="Q62" i="53" s="1"/>
  <c r="R17" i="52"/>
  <c r="Q26" i="52"/>
  <c r="Q53" i="52" s="1"/>
  <c r="Q62" i="52" s="1"/>
  <c r="P64" i="51"/>
  <c r="P52" i="51"/>
  <c r="P61" i="51" s="1"/>
  <c r="Q64" i="51"/>
  <c r="R64" i="51"/>
  <c r="R25" i="51"/>
  <c r="R52" i="51" s="1"/>
  <c r="R61" i="51" s="1"/>
  <c r="R43" i="51"/>
  <c r="R50" i="51" s="1"/>
  <c r="Q25" i="51"/>
  <c r="Q52" i="51" s="1"/>
  <c r="Q61" i="51" s="1"/>
  <c r="K52" i="49"/>
  <c r="K61" i="49" s="1"/>
  <c r="J52" i="47"/>
  <c r="J61" i="47" s="1"/>
  <c r="K52" i="47"/>
  <c r="K61" i="47" s="1"/>
  <c r="P65" i="46"/>
  <c r="R53" i="46"/>
  <c r="R62" i="46" s="1"/>
  <c r="Q65" i="46"/>
  <c r="Q26" i="46"/>
  <c r="Q53" i="46" s="1"/>
  <c r="Q62" i="46" s="1"/>
  <c r="P26" i="46"/>
  <c r="P53" i="46" s="1"/>
  <c r="P62" i="46" s="1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D44" i="56" s="1"/>
  <c r="D51" i="56" s="1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H26" i="54"/>
  <c r="I18" i="54"/>
  <c r="I26" i="54" s="1"/>
  <c r="H18" i="54"/>
  <c r="J44" i="53"/>
  <c r="J51" i="53" s="1"/>
  <c r="L42" i="53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7" i="53"/>
  <c r="L16" i="53"/>
  <c r="K16" i="53"/>
  <c r="J16" i="53"/>
  <c r="L44" i="52"/>
  <c r="L51" i="52" s="1"/>
  <c r="K44" i="52"/>
  <c r="K51" i="52" s="1"/>
  <c r="J44" i="52"/>
  <c r="J51" i="52" s="1"/>
  <c r="L42" i="52"/>
  <c r="L17" i="52" s="1"/>
  <c r="K42" i="52"/>
  <c r="J42" i="52"/>
  <c r="L40" i="52"/>
  <c r="K40" i="52"/>
  <c r="J40" i="52"/>
  <c r="L30" i="52"/>
  <c r="K30" i="52"/>
  <c r="J30" i="52"/>
  <c r="L21" i="52"/>
  <c r="K21" i="52"/>
  <c r="J21" i="52"/>
  <c r="L18" i="52"/>
  <c r="K18" i="52"/>
  <c r="J18" i="52"/>
  <c r="K17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H44" i="50" s="1"/>
  <c r="H51" i="50" s="1"/>
  <c r="I33" i="50"/>
  <c r="H33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H43" i="48" s="1"/>
  <c r="H50" i="48" s="1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K17" i="46"/>
  <c r="L16" i="46"/>
  <c r="K16" i="46"/>
  <c r="J16" i="46"/>
  <c r="L41" i="32"/>
  <c r="L17" i="32" s="1"/>
  <c r="L25" i="32" s="1"/>
  <c r="L52" i="32" s="1"/>
  <c r="L61" i="32" s="1"/>
  <c r="K41" i="32"/>
  <c r="K17" i="32" s="1"/>
  <c r="J41" i="32"/>
  <c r="J17" i="32" s="1"/>
  <c r="L39" i="32"/>
  <c r="L43" i="32" s="1"/>
  <c r="L50" i="32" s="1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R65" i="52" l="1"/>
  <c r="R26" i="52"/>
  <c r="R53" i="52" s="1"/>
  <c r="R62" i="52" s="1"/>
  <c r="I43" i="47"/>
  <c r="I50" i="47" s="1"/>
  <c r="I64" i="47" s="1"/>
  <c r="L26" i="52"/>
  <c r="L53" i="52" s="1"/>
  <c r="L62" i="52" s="1"/>
  <c r="L65" i="52"/>
  <c r="C65" i="56"/>
  <c r="K65" i="53"/>
  <c r="H64" i="47"/>
  <c r="K43" i="32"/>
  <c r="K50" i="32" s="1"/>
  <c r="K64" i="32" s="1"/>
  <c r="L26" i="53"/>
  <c r="I65" i="50"/>
  <c r="K44" i="53"/>
  <c r="K51" i="53" s="1"/>
  <c r="J26" i="46"/>
  <c r="J53" i="46" s="1"/>
  <c r="J62" i="46" s="1"/>
  <c r="H64" i="48"/>
  <c r="K43" i="51"/>
  <c r="K50" i="51" s="1"/>
  <c r="K64" i="51" s="1"/>
  <c r="J65" i="52"/>
  <c r="H65" i="54"/>
  <c r="B44" i="56"/>
  <c r="B51" i="56" s="1"/>
  <c r="J43" i="32"/>
  <c r="J50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C52" i="57"/>
  <c r="C61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53" i="46" s="1"/>
  <c r="K62" i="46" s="1"/>
  <c r="K25" i="32"/>
  <c r="J64" i="32"/>
  <c r="J25" i="32"/>
  <c r="J52" i="32" s="1"/>
  <c r="J61" i="32" s="1"/>
  <c r="L64" i="32"/>
  <c r="I52" i="48" l="1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I18" i="52"/>
  <c r="H18" i="52"/>
  <c r="G18" i="52"/>
  <c r="I17" i="52"/>
  <c r="H17" i="52"/>
  <c r="H26" i="52" s="1"/>
  <c r="I16" i="52"/>
  <c r="H16" i="52"/>
  <c r="G16" i="52"/>
  <c r="I41" i="51"/>
  <c r="I17" i="51" s="1"/>
  <c r="H41" i="51"/>
  <c r="H17" i="51" s="1"/>
  <c r="H25" i="51" s="1"/>
  <c r="G41" i="51"/>
  <c r="G17" i="51" s="1"/>
  <c r="I39" i="51"/>
  <c r="I43" i="51" s="1"/>
  <c r="I50" i="51" s="1"/>
  <c r="H39" i="51"/>
  <c r="H43" i="51" s="1"/>
  <c r="H50" i="51" s="1"/>
  <c r="G39" i="51"/>
  <c r="I30" i="51"/>
  <c r="H30" i="51"/>
  <c r="G30" i="51"/>
  <c r="I18" i="51"/>
  <c r="H18" i="51"/>
  <c r="G18" i="51"/>
  <c r="I16" i="51"/>
  <c r="H16" i="51"/>
  <c r="G16" i="51"/>
  <c r="G42" i="50"/>
  <c r="G44" i="50" s="1"/>
  <c r="G51" i="50" s="1"/>
  <c r="G65" i="50" s="1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G44" i="46" s="1"/>
  <c r="G51" i="46" s="1"/>
  <c r="I30" i="46"/>
  <c r="H30" i="46"/>
  <c r="G30" i="46"/>
  <c r="I18" i="46"/>
  <c r="H18" i="46"/>
  <c r="G18" i="46"/>
  <c r="G17" i="46"/>
  <c r="G65" i="46" s="1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B42" i="53"/>
  <c r="B17" i="53" s="1"/>
  <c r="F40" i="53"/>
  <c r="F44" i="53" s="1"/>
  <c r="F51" i="53" s="1"/>
  <c r="E40" i="53"/>
  <c r="D40" i="53"/>
  <c r="D44" i="53" s="1"/>
  <c r="D51" i="53" s="1"/>
  <c r="C40" i="53"/>
  <c r="C44" i="53" s="1"/>
  <c r="C51" i="53" s="1"/>
  <c r="B40" i="53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C17" i="53"/>
  <c r="C65" i="53" s="1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E44" i="52" s="1"/>
  <c r="E51" i="52" s="1"/>
  <c r="D40" i="52"/>
  <c r="D44" i="52" s="1"/>
  <c r="D51" i="52" s="1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D53" i="52" s="1"/>
  <c r="D62" i="52" s="1"/>
  <c r="F16" i="52"/>
  <c r="E16" i="52"/>
  <c r="D16" i="52"/>
  <c r="C16" i="52"/>
  <c r="B16" i="52"/>
  <c r="F41" i="51"/>
  <c r="E41" i="51"/>
  <c r="D41" i="51"/>
  <c r="D17" i="51" s="1"/>
  <c r="C41" i="51"/>
  <c r="B41" i="51"/>
  <c r="B17" i="51" s="1"/>
  <c r="F39" i="51"/>
  <c r="F43" i="51" s="1"/>
  <c r="F50" i="51" s="1"/>
  <c r="E39" i="51"/>
  <c r="D39" i="51"/>
  <c r="D43" i="51" s="1"/>
  <c r="D50" i="51" s="1"/>
  <c r="C39" i="51"/>
  <c r="C43" i="51" s="1"/>
  <c r="C50" i="51" s="1"/>
  <c r="B39" i="51"/>
  <c r="F30" i="51"/>
  <c r="E30" i="51"/>
  <c r="D30" i="51"/>
  <c r="C30" i="51"/>
  <c r="B30" i="51"/>
  <c r="F18" i="51"/>
  <c r="E18" i="51"/>
  <c r="D18" i="51"/>
  <c r="C18" i="51"/>
  <c r="B18" i="51"/>
  <c r="F17" i="51"/>
  <c r="E17" i="51"/>
  <c r="C17" i="51"/>
  <c r="C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E18" i="50"/>
  <c r="E26" i="50" s="1"/>
  <c r="D18" i="50"/>
  <c r="D26" i="50" s="1"/>
  <c r="C18" i="50"/>
  <c r="C26" i="50" s="1"/>
  <c r="C53" i="50" s="1"/>
  <c r="C62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B43" i="48" s="1"/>
  <c r="B50" i="48" s="1"/>
  <c r="B64" i="48" s="1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E42" i="46"/>
  <c r="E17" i="46" s="1"/>
  <c r="D42" i="46"/>
  <c r="D17" i="46" s="1"/>
  <c r="D26" i="46" s="1"/>
  <c r="C42" i="46"/>
  <c r="B42" i="46"/>
  <c r="B17" i="46" s="1"/>
  <c r="F40" i="46"/>
  <c r="F44" i="46" s="1"/>
  <c r="F51" i="46" s="1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F17" i="46"/>
  <c r="F65" i="46" s="1"/>
  <c r="C17" i="46"/>
  <c r="F16" i="46"/>
  <c r="E16" i="46"/>
  <c r="D16" i="46"/>
  <c r="C16" i="46"/>
  <c r="B16" i="46"/>
  <c r="F41" i="32"/>
  <c r="F17" i="32" s="1"/>
  <c r="E41" i="32"/>
  <c r="D41" i="32"/>
  <c r="D17" i="32" s="1"/>
  <c r="C41" i="32"/>
  <c r="C17" i="32" s="1"/>
  <c r="B41" i="32"/>
  <c r="F39" i="32"/>
  <c r="F43" i="32" s="1"/>
  <c r="F50" i="32" s="1"/>
  <c r="E39" i="32"/>
  <c r="E43" i="32" s="1"/>
  <c r="E50" i="32" s="1"/>
  <c r="D39" i="32"/>
  <c r="D43" i="32" s="1"/>
  <c r="D50" i="32" s="1"/>
  <c r="C39" i="32"/>
  <c r="B39" i="32"/>
  <c r="F30" i="32"/>
  <c r="E30" i="32"/>
  <c r="D30" i="32"/>
  <c r="C30" i="32"/>
  <c r="B30" i="32"/>
  <c r="F18" i="32"/>
  <c r="E18" i="32"/>
  <c r="D18" i="32"/>
  <c r="C18" i="32"/>
  <c r="B18" i="32"/>
  <c r="E17" i="32"/>
  <c r="E64" i="32" s="1"/>
  <c r="B17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D30" i="31"/>
  <c r="E23" i="31"/>
  <c r="D23" i="3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C52" i="47" l="1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F44" i="52"/>
  <c r="F51" i="52" s="1"/>
  <c r="F65" i="52" s="1"/>
  <c r="E44" i="54"/>
  <c r="E51" i="54" s="1"/>
  <c r="E65" i="54" s="1"/>
  <c r="G43" i="32"/>
  <c r="G50" i="32" s="1"/>
  <c r="E58" i="31"/>
  <c r="E67" i="31" s="1"/>
  <c r="B44" i="46"/>
  <c r="B51" i="46" s="1"/>
  <c r="E52" i="49"/>
  <c r="E61" i="49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D44" i="46"/>
  <c r="D51" i="46" s="1"/>
  <c r="D65" i="46" s="1"/>
  <c r="B44" i="52"/>
  <c r="B51" i="52" s="1"/>
  <c r="B65" i="52" s="1"/>
  <c r="E44" i="46"/>
  <c r="E51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H53" i="52"/>
  <c r="H62" i="52" s="1"/>
  <c r="G44" i="52"/>
  <c r="G51" i="52" s="1"/>
  <c r="G65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64" i="51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65" i="52"/>
  <c r="E26" i="52"/>
  <c r="E53" i="52" s="1"/>
  <c r="E62" i="52" s="1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B52" i="51" l="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<sst xmlns="http://schemas.openxmlformats.org/spreadsheetml/2006/main" count="4063" uniqueCount="125">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</sst>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000_ "/>
    <numFmt numFmtId="177" formatCode="0.00_ "/>
  </numFmts>
  <fonts count="19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2">
    <xf numFmtId="0" fontId="0" fillId="0" borderId="0" xfId="0">
      <alignment vertical="center"/>
    </xf>
    <xf numFmtId="0" fontId="0" fillId="0" borderId="0" xfId="1" applyFont="1">
      <alignment vertical="center"/>
    </xf>
    <xf numFmtId="177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77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77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177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vertical="center" wrapText="1"/>
    </xf>
    <xf numFmtId="177" fontId="12" fillId="8" borderId="1" xfId="1" applyNumberFormat="1" applyFont="1" applyFill="1" applyBorder="1" applyAlignment="1">
      <alignment horizontal="center" vertical="center" wrapText="1"/>
    </xf>
    <xf numFmtId="177" fontId="12" fillId="5" borderId="1" xfId="1" applyNumberFormat="1" applyFont="1" applyFill="1" applyBorder="1" applyAlignment="1">
      <alignment horizontal="center" vertical="center" wrapText="1"/>
    </xf>
    <xf numFmtId="177" fontId="14" fillId="5" borderId="1" xfId="1" applyNumberFormat="1" applyFont="1" applyFill="1" applyBorder="1" applyAlignment="1">
      <alignment horizontal="center" vertical="center" wrapText="1"/>
    </xf>
    <xf numFmtId="177" fontId="12" fillId="7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177" fontId="16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77" fontId="16" fillId="0" borderId="1" xfId="1" applyNumberFormat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vertical="center" wrapText="1"/>
    </xf>
    <xf numFmtId="177" fontId="16" fillId="8" borderId="1" xfId="1" applyNumberFormat="1" applyFont="1" applyFill="1" applyBorder="1" applyAlignment="1">
      <alignment horizontal="center" vertical="center" wrapText="1"/>
    </xf>
    <xf numFmtId="177" fontId="16" fillId="5" borderId="1" xfId="1" applyNumberFormat="1" applyFont="1" applyFill="1" applyBorder="1" applyAlignment="1">
      <alignment horizontal="center" vertical="center" wrapText="1"/>
    </xf>
    <xf numFmtId="177" fontId="16" fillId="7" borderId="1" xfId="1" applyNumberFormat="1" applyFont="1" applyFill="1" applyBorder="1" applyAlignment="1">
      <alignment horizontal="center" vertical="center"/>
    </xf>
    <xf numFmtId="177" fontId="16" fillId="0" borderId="1" xfId="1" applyNumberFormat="1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/>
    </xf>
    <xf numFmtId="177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horizontal="center" vertical="center" wrapText="1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6" fillId="7" borderId="1" xfId="1" applyNumberFormat="1" applyFont="1" applyFill="1" applyBorder="1" applyAlignment="1">
      <alignment horizontal="center" vertical="center"/>
    </xf>
    <xf numFmtId="177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6" fillId="8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6" fillId="7" borderId="1" xfId="1" applyNumberFormat="1" applyFont="1" applyFill="1" applyBorder="1" applyAlignment="1">
      <alignment horizontal="center" vertical="center"/>
    </xf>
    <xf numFmtId="177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6" fillId="8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/>
    </xf>
    <xf numFmtId="177" fontId="8" fillId="0" borderId="0" xfId="1" applyNumberFormat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常规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70" zoomScaleNormal="70" workbookViewId="0">
      <pane xSplit="1" ySplit="6" topLeftCell="B58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9.625" style="1" customWidth="1"/>
    <col min="7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6" t="s">
        <v>4</v>
      </c>
      <c r="C5" s="196"/>
      <c r="D5" s="196"/>
      <c r="E5" s="196"/>
      <c r="F5" s="196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60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 ht="15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 ht="15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 ht="15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30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30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30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30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 ht="15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7" t="s">
        <v>88</v>
      </c>
    </row>
    <row r="61" spans="1:6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198"/>
    </row>
    <row r="62" spans="1:6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198"/>
    </row>
    <row r="63" spans="1:6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198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198"/>
    </row>
    <row r="65" spans="1:6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199"/>
    </row>
    <row r="66" spans="1:6" ht="30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30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 ht="15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 ht="15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5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pane xSplit="1" ySplit="1" topLeftCell="Q2" activePane="bottomRight" state="frozen"/>
      <selection pane="topRight"/>
      <selection pane="bottomLeft"/>
      <selection pane="bottomRight" activeCell="Y1" sqref="Y1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5.75" style="3" customWidth="1"/>
    <col min="14" max="14" width="14.5" style="3" customWidth="1"/>
    <col min="15" max="15" width="18.1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16384" width="9" style="3"/>
  </cols>
  <sheetData>
    <row r="1" spans="1:21" ht="14.25" customHeight="1">
      <c r="A1" s="4"/>
      <c r="B1" s="200" t="s">
        <v>100</v>
      </c>
      <c r="C1" s="200"/>
      <c r="D1" s="200"/>
      <c r="E1" s="200" t="s">
        <v>101</v>
      </c>
      <c r="F1" s="200"/>
      <c r="G1" s="201" t="s">
        <v>113</v>
      </c>
      <c r="H1" s="201"/>
      <c r="I1" s="201"/>
      <c r="J1" s="200" t="s">
        <v>117</v>
      </c>
      <c r="K1" s="200"/>
      <c r="L1" s="200"/>
      <c r="M1" s="200" t="s">
        <v>122</v>
      </c>
      <c r="N1" s="200"/>
      <c r="O1" s="200"/>
      <c r="P1" s="200" t="s">
        <v>123</v>
      </c>
      <c r="Q1" s="200"/>
      <c r="R1" s="200"/>
      <c r="S1" s="200" t="s">
        <v>124</v>
      </c>
      <c r="T1" s="200"/>
      <c r="U1" s="200"/>
    </row>
    <row r="2" spans="1:21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</row>
    <row r="3" spans="1:2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53">
        <v>2.6</v>
      </c>
      <c r="N3" s="153">
        <v>2.6</v>
      </c>
      <c r="O3" s="153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</row>
    <row r="4" spans="1:21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</row>
    <row r="5" spans="1:21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</row>
    <row r="6" spans="1:21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</row>
    <row r="7" spans="1:21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</row>
    <row r="8" spans="1:21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</row>
    <row r="9" spans="1:21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</row>
    <row r="10" spans="1:21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</row>
    <row r="11" spans="1:21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</row>
    <row r="12" spans="1:21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</row>
    <row r="13" spans="1:21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</row>
    <row r="14" spans="1:21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</row>
    <row r="15" spans="1:21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</row>
    <row r="16" spans="1:21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  <c r="S16" s="166">
        <f>S15+10*LOG10(S4)</f>
        <v>44</v>
      </c>
      <c r="T16" s="166">
        <f>T15+10*LOG10(T4)</f>
        <v>44</v>
      </c>
      <c r="U16" s="166">
        <f>U15+10*LOG10(U4)</f>
        <v>44</v>
      </c>
    </row>
    <row r="17" spans="1:21" ht="30">
      <c r="A17" s="8" t="s">
        <v>35</v>
      </c>
      <c r="B17" s="29">
        <f t="shared" ref="B17:L17" si="1">B15+10*LOG10(B42/1000000)</f>
        <v>34.583624920952495</v>
      </c>
      <c r="C17" s="29">
        <f t="shared" si="1"/>
        <v>34.583624920952495</v>
      </c>
      <c r="D17" s="29">
        <f t="shared" si="1"/>
        <v>34.583624920952495</v>
      </c>
      <c r="E17" s="29">
        <f t="shared" si="1"/>
        <v>24.334237554869496</v>
      </c>
      <c r="F17" s="29">
        <f t="shared" si="1"/>
        <v>24.334237554869496</v>
      </c>
      <c r="G17" s="73">
        <f t="shared" si="1"/>
        <v>24.334237554869496</v>
      </c>
      <c r="H17" s="73">
        <f t="shared" si="1"/>
        <v>24.334237554869496</v>
      </c>
      <c r="I17" s="73">
        <f t="shared" si="1"/>
        <v>24.334237554869496</v>
      </c>
      <c r="J17" s="13">
        <f t="shared" si="1"/>
        <v>34.583624920952495</v>
      </c>
      <c r="K17" s="13">
        <f t="shared" si="1"/>
        <v>34.583624920952495</v>
      </c>
      <c r="L17" s="13">
        <f t="shared" si="1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>P15+10*LOG10(P42/1000000)</f>
        <v>39.354837468149121</v>
      </c>
      <c r="Q17" s="164">
        <f>Q15+10*LOG10(Q42/1000000)</f>
        <v>39.354837468149121</v>
      </c>
      <c r="R17" s="164">
        <f>R15+10*LOG10(R42/1000000)</f>
        <v>39.354837468149121</v>
      </c>
      <c r="S17" s="166">
        <f>S15+10*LOG10(S42/1000000)</f>
        <v>24.334237554869496</v>
      </c>
      <c r="T17" s="166">
        <f>T15+10*LOG10(T42/1000000)</f>
        <v>24.334237554869496</v>
      </c>
      <c r="U17" s="166">
        <f>U15+10*LOG10(U42/1000000)</f>
        <v>24.334237554869496</v>
      </c>
    </row>
    <row r="18" spans="1:21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  <c r="S18" s="166">
        <f>S19+10*LOG10(S12/S13)-S20</f>
        <v>12.771212547196624</v>
      </c>
      <c r="T18" s="166">
        <f>T19+10*LOG10(T12/T13)-T20</f>
        <v>12.771212547196624</v>
      </c>
      <c r="U18" s="166">
        <f>U19+10*LOG10(U12/U13)-U20</f>
        <v>12.771212547196624</v>
      </c>
    </row>
    <row r="19" spans="1:21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</row>
    <row r="20" spans="1:21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</row>
    <row r="21" spans="1:21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3">10*LOG10(K13/K14)-8</f>
        <v>7.0514997831990609</v>
      </c>
      <c r="L21" s="17">
        <f t="shared" si="3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</row>
    <row r="22" spans="1:21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</row>
    <row r="23" spans="1:21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</row>
    <row r="24" spans="1:21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</row>
    <row r="25" spans="1:21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</row>
    <row r="26" spans="1:21" ht="15">
      <c r="A26" s="8" t="s">
        <v>51</v>
      </c>
      <c r="B26" s="29">
        <f t="shared" ref="B26:L26" si="4">B17+B18+B21-B23-B24</f>
        <v>52.354837468149121</v>
      </c>
      <c r="C26" s="29">
        <f t="shared" si="4"/>
        <v>52.354837468149121</v>
      </c>
      <c r="D26" s="29">
        <f t="shared" si="4"/>
        <v>52.354837468149121</v>
      </c>
      <c r="E26" s="29">
        <f t="shared" si="4"/>
        <v>32.765450102066119</v>
      </c>
      <c r="F26" s="29">
        <f t="shared" si="4"/>
        <v>32.765450102066119</v>
      </c>
      <c r="G26" s="73">
        <f t="shared" si="4"/>
        <v>42.105450102066122</v>
      </c>
      <c r="H26" s="73">
        <f t="shared" si="4"/>
        <v>42.105450102066122</v>
      </c>
      <c r="I26" s="73">
        <f t="shared" si="4"/>
        <v>42.105450102066122</v>
      </c>
      <c r="J26" s="13">
        <f t="shared" si="4"/>
        <v>48.756337251348185</v>
      </c>
      <c r="K26" s="13">
        <f t="shared" si="4"/>
        <v>48.756337251348185</v>
      </c>
      <c r="L26" s="13">
        <f t="shared" si="4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>P17+P18+P21-P23-P24</f>
        <v>64.176050015345751</v>
      </c>
      <c r="Q26" s="164">
        <f>Q17+Q18+Q21-Q23-Q24</f>
        <v>64.176050015345751</v>
      </c>
      <c r="R26" s="164">
        <f>R17+R18+R21-R23-R24</f>
        <v>64.176050015345751</v>
      </c>
      <c r="S26" s="166">
        <f>S17+S18+S21-S23-S24</f>
        <v>42.105450102066122</v>
      </c>
      <c r="T26" s="166">
        <f>T17+T18+T21-T23-T24</f>
        <v>42.105450102066122</v>
      </c>
      <c r="U26" s="166">
        <f>U17+U18+U21-U23-U24</f>
        <v>42.105450102066122</v>
      </c>
    </row>
    <row r="27" spans="1:21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</row>
    <row r="28" spans="1:21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</row>
    <row r="29" spans="1:21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</row>
    <row r="30" spans="1:21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55">
        <v>0</v>
      </c>
      <c r="N30" s="155">
        <v>-3</v>
      </c>
      <c r="O30" s="155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  <c r="S30" s="166">
        <f>S31+10*LOG10(S28/S29)-S32</f>
        <v>0</v>
      </c>
      <c r="T30" s="166">
        <f>T31+10*LOG10(T28/T29)-T32</f>
        <v>-3</v>
      </c>
      <c r="U30" s="166">
        <f>U31+10*LOG10(U28/U29)-U32</f>
        <v>-3</v>
      </c>
    </row>
    <row r="31" spans="1:21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</row>
    <row r="32" spans="1:21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</row>
    <row r="33" spans="1:21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</row>
    <row r="34" spans="1:21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</row>
    <row r="35" spans="1:21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</row>
    <row r="36" spans="1:21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</row>
    <row r="37" spans="1:21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</row>
    <row r="38" spans="1:21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</row>
    <row r="39" spans="1:21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</row>
    <row r="40" spans="1:21" ht="30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>10*LOG10(10^((P35+P36)/10)+10^(P38/10))</f>
        <v>-164.98918835931039</v>
      </c>
      <c r="Q40" s="164">
        <f>10*LOG10(10^((Q35+Q36)/10)+10^(Q38/10))</f>
        <v>-164.98918835931039</v>
      </c>
      <c r="R40" s="164">
        <f>10*LOG10(10^((R35+R36)/10)+10^(R38/10))</f>
        <v>-164.98918835931039</v>
      </c>
      <c r="S40" s="166">
        <f>10*LOG10(10^((S35+S36)/10)+10^(S38/10))</f>
        <v>-167.00000000000003</v>
      </c>
      <c r="T40" s="166">
        <f>10*LOG10(10^((T35+T36)/10)+10^(T38/10))</f>
        <v>-167.00000000000003</v>
      </c>
      <c r="U40" s="166">
        <f>10*LOG10(10^((U35+U36)/10)+10^(U38/10))</f>
        <v>-167.00000000000003</v>
      </c>
    </row>
    <row r="41" spans="1:21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</row>
    <row r="42" spans="1:21" ht="15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7">3*360*1000</f>
        <v>1080000</v>
      </c>
      <c r="I42" s="76">
        <f t="shared" si="7"/>
        <v>1080000</v>
      </c>
      <c r="J42" s="17">
        <f>4*360*1000</f>
        <v>1440000</v>
      </c>
      <c r="K42" s="17">
        <f t="shared" ref="K42:L42" si="8">4*360*1000</f>
        <v>1440000</v>
      </c>
      <c r="L42" s="17">
        <f t="shared" si="8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9">12*360*1000</f>
        <v>4320000</v>
      </c>
      <c r="R42" s="182">
        <f t="shared" si="9"/>
        <v>4320000</v>
      </c>
      <c r="S42" s="169">
        <f>3*360*1000</f>
        <v>1080000</v>
      </c>
      <c r="T42" s="169">
        <f t="shared" ref="T42:U42" si="10">3*360*1000</f>
        <v>1080000</v>
      </c>
      <c r="U42" s="169">
        <f t="shared" si="10"/>
        <v>1080000</v>
      </c>
    </row>
    <row r="43" spans="1:21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</row>
    <row r="44" spans="1:21" ht="15">
      <c r="A44" s="8" t="s">
        <v>72</v>
      </c>
      <c r="B44" s="29">
        <f t="shared" ref="B44:L44" si="11">B40+10*LOG10(B42)</f>
        <v>-105.41637507904753</v>
      </c>
      <c r="C44" s="29">
        <f t="shared" si="11"/>
        <v>-105.41637507904753</v>
      </c>
      <c r="D44" s="29">
        <f t="shared" si="11"/>
        <v>-105.41637507904753</v>
      </c>
      <c r="E44" s="29">
        <f t="shared" si="11"/>
        <v>-106.66576244513053</v>
      </c>
      <c r="F44" s="29">
        <f t="shared" si="11"/>
        <v>-106.66576244513053</v>
      </c>
      <c r="G44" s="73">
        <f t="shared" si="11"/>
        <v>-106.66576244513053</v>
      </c>
      <c r="H44" s="73">
        <f t="shared" si="11"/>
        <v>-106.66576244513053</v>
      </c>
      <c r="I44" s="73">
        <f t="shared" si="11"/>
        <v>-106.66576244513053</v>
      </c>
      <c r="J44" s="13">
        <f t="shared" si="11"/>
        <v>-103.40556343835789</v>
      </c>
      <c r="K44" s="13">
        <f t="shared" si="11"/>
        <v>-103.40556343835789</v>
      </c>
      <c r="L44" s="13">
        <f t="shared" si="11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>P40+10*LOG10(P42)</f>
        <v>-98.634350891161276</v>
      </c>
      <c r="Q44" s="164">
        <f>Q40+10*LOG10(Q42)</f>
        <v>-98.634350891161276</v>
      </c>
      <c r="R44" s="164">
        <f>R40+10*LOG10(R42)</f>
        <v>-98.634350891161276</v>
      </c>
      <c r="S44" s="166">
        <f>S40+10*LOG10(S42)</f>
        <v>-106.66576244513053</v>
      </c>
      <c r="T44" s="166">
        <f>T40+10*LOG10(T42)</f>
        <v>-106.66576244513053</v>
      </c>
      <c r="U44" s="166">
        <f>U40+10*LOG10(U42)</f>
        <v>-106.66576244513053</v>
      </c>
    </row>
    <row r="45" spans="1:21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</row>
    <row r="46" spans="1:21" ht="15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</row>
    <row r="47" spans="1:21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</row>
    <row r="48" spans="1:21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</row>
    <row r="49" spans="1:21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</row>
    <row r="50" spans="1:21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</row>
    <row r="51" spans="1:21" ht="30">
      <c r="A51" s="8" t="s">
        <v>82</v>
      </c>
      <c r="B51" s="29">
        <f t="shared" ref="B51:L51" si="12">B44+B46+B47-B49</f>
        <v>-110.91637507904753</v>
      </c>
      <c r="C51" s="29">
        <f t="shared" si="12"/>
        <v>-107.41637507904753</v>
      </c>
      <c r="D51" s="29">
        <f t="shared" si="12"/>
        <v>-102.21637507904752</v>
      </c>
      <c r="E51" s="29">
        <f t="shared" si="12"/>
        <v>-116.53576244513053</v>
      </c>
      <c r="F51" s="29">
        <f t="shared" si="12"/>
        <v>-112.92576244513053</v>
      </c>
      <c r="G51" s="73">
        <f t="shared" si="12"/>
        <v>-112.28576244513053</v>
      </c>
      <c r="H51" s="73">
        <f t="shared" si="12"/>
        <v>-108.20576244513053</v>
      </c>
      <c r="I51" s="73">
        <f t="shared" si="12"/>
        <v>-102.68576244513052</v>
      </c>
      <c r="J51" s="13">
        <f t="shared" si="12"/>
        <v>-109.32556343835789</v>
      </c>
      <c r="K51" s="13">
        <f t="shared" si="12"/>
        <v>-104.83556343835789</v>
      </c>
      <c r="L51" s="13">
        <f t="shared" si="12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>P44+P46+P47-P49</f>
        <v>-105.63435089116128</v>
      </c>
      <c r="Q51" s="164">
        <f>Q44+Q46+Q47-Q49</f>
        <v>-103.23435089116127</v>
      </c>
      <c r="R51" s="164">
        <f>R44+R46+R47-R49</f>
        <v>-99.434350891161273</v>
      </c>
      <c r="S51" s="166">
        <f>S44+S46+S47-S49</f>
        <v>-110.34576244513053</v>
      </c>
      <c r="T51" s="166">
        <f>T44+T46+T47-T49</f>
        <v>-105.83576244513053</v>
      </c>
      <c r="U51" s="166">
        <f>U44+U46+U47-U49</f>
        <v>-100.15576244513052</v>
      </c>
    </row>
    <row r="52" spans="1:21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</row>
    <row r="53" spans="1:21" ht="30">
      <c r="A53" s="22" t="s">
        <v>85</v>
      </c>
      <c r="B53" s="37">
        <f t="shared" ref="B53:G53" si="13">B26+B30+B33-B34-B51</f>
        <v>162.27121254719665</v>
      </c>
      <c r="C53" s="37">
        <f t="shared" si="13"/>
        <v>155.77121254719665</v>
      </c>
      <c r="D53" s="37">
        <f t="shared" si="13"/>
        <v>150.57121254719664</v>
      </c>
      <c r="E53" s="37">
        <f t="shared" si="13"/>
        <v>148.30121254719666</v>
      </c>
      <c r="F53" s="37">
        <f t="shared" si="13"/>
        <v>141.69121254719664</v>
      </c>
      <c r="G53" s="78">
        <f t="shared" si="13"/>
        <v>153.39121254719666</v>
      </c>
      <c r="H53" s="78">
        <f t="shared" ref="H53:L53" si="14">H26+H30+H33-H34-H51</f>
        <v>146.31121254719665</v>
      </c>
      <c r="I53" s="78">
        <f t="shared" si="14"/>
        <v>140.79121254719664</v>
      </c>
      <c r="J53" s="23">
        <f t="shared" si="14"/>
        <v>157.08190068970606</v>
      </c>
      <c r="K53" s="23">
        <f t="shared" si="14"/>
        <v>149.59190068970608</v>
      </c>
      <c r="L53" s="23">
        <f t="shared" si="14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15">Q26+Q30+Q33-Q34-Q51</f>
        <v>163.41040090650702</v>
      </c>
      <c r="R53" s="171">
        <f t="shared" si="15"/>
        <v>159.61040090650704</v>
      </c>
      <c r="S53" s="171">
        <f>S26+S30+S33-S34-S51</f>
        <v>151.45121254719666</v>
      </c>
      <c r="T53" s="171">
        <f t="shared" ref="T53:U53" si="16">T26+T30+T33-T34-T51</f>
        <v>143.94121254719664</v>
      </c>
      <c r="U53" s="171">
        <f t="shared" si="16"/>
        <v>138.26121254719664</v>
      </c>
    </row>
    <row r="54" spans="1:21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</row>
    <row r="55" spans="1:21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</row>
    <row r="56" spans="1:21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</row>
    <row r="57" spans="1:21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</row>
    <row r="58" spans="1:21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</row>
    <row r="59" spans="1:21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</row>
    <row r="60" spans="1:21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</row>
    <row r="61" spans="1:21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</row>
    <row r="62" spans="1:21" ht="30">
      <c r="A62" s="22" t="s">
        <v>109</v>
      </c>
      <c r="B62" s="37">
        <f t="shared" ref="B62:G62" si="17">B53-B57+B58-B59+B60</f>
        <v>131.54121254719666</v>
      </c>
      <c r="C62" s="37">
        <f t="shared" si="17"/>
        <v>125.04121254719666</v>
      </c>
      <c r="D62" s="37">
        <f t="shared" si="17"/>
        <v>119.84121254719665</v>
      </c>
      <c r="E62" s="37">
        <f t="shared" si="17"/>
        <v>117.57121254719667</v>
      </c>
      <c r="F62" s="37">
        <f t="shared" si="17"/>
        <v>110.96121254719665</v>
      </c>
      <c r="G62" s="78">
        <f t="shared" si="17"/>
        <v>122.66121254719667</v>
      </c>
      <c r="H62" s="78">
        <f t="shared" ref="H62:L62" si="18">H53-H57+H58-H59+H60</f>
        <v>115.58121254719666</v>
      </c>
      <c r="I62" s="78">
        <f t="shared" si="18"/>
        <v>110.06121254719665</v>
      </c>
      <c r="J62" s="23">
        <f t="shared" si="18"/>
        <v>126.35190068970607</v>
      </c>
      <c r="K62" s="23">
        <f t="shared" si="18"/>
        <v>118.86190068970609</v>
      </c>
      <c r="L62" s="23">
        <f t="shared" si="18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19">Q53-Q57+Q58-Q59+Q60</f>
        <v>132.68040090650703</v>
      </c>
      <c r="R62" s="171">
        <f t="shared" si="19"/>
        <v>128.88040090650705</v>
      </c>
      <c r="S62" s="171">
        <f>S53-S57+S58-S59+S60</f>
        <v>120.72121254719667</v>
      </c>
      <c r="T62" s="171">
        <f t="shared" ref="T62:U62" si="20">T53-T57+T58-T59+T60</f>
        <v>113.21121254719665</v>
      </c>
      <c r="U62" s="171">
        <f t="shared" si="20"/>
        <v>107.53121254719665</v>
      </c>
    </row>
    <row r="63" spans="1:21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</row>
    <row r="64" spans="1:21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</row>
    <row r="65" spans="1:21" ht="15">
      <c r="A65" s="22" t="s">
        <v>98</v>
      </c>
      <c r="B65" s="37">
        <f t="shared" ref="B65:L65" si="21">B17-B23-B51+B21+B33</f>
        <v>153.50000000000003</v>
      </c>
      <c r="C65" s="37">
        <f t="shared" si="21"/>
        <v>150.00000000000003</v>
      </c>
      <c r="D65" s="37">
        <f t="shared" si="21"/>
        <v>144.80000000000001</v>
      </c>
      <c r="E65" s="37">
        <f t="shared" si="21"/>
        <v>142.48000000000005</v>
      </c>
      <c r="F65" s="37">
        <f t="shared" si="21"/>
        <v>138.87000000000003</v>
      </c>
      <c r="G65" s="78">
        <f t="shared" si="21"/>
        <v>144.62000000000003</v>
      </c>
      <c r="H65" s="78">
        <f t="shared" si="21"/>
        <v>140.54000000000002</v>
      </c>
      <c r="I65" s="78">
        <f t="shared" si="21"/>
        <v>135.02000000000001</v>
      </c>
      <c r="J65" s="23">
        <f t="shared" si="21"/>
        <v>150.96068814250944</v>
      </c>
      <c r="K65" s="23">
        <f t="shared" si="21"/>
        <v>146.47068814250946</v>
      </c>
      <c r="L65" s="23">
        <f t="shared" si="21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>P17-P23-P51+P21+P33</f>
        <v>160.0391883593104</v>
      </c>
      <c r="Q65" s="171">
        <f>Q17-Q23-Q51+Q21+Q33</f>
        <v>157.6391883593104</v>
      </c>
      <c r="R65" s="171">
        <f>R17-R23-R51+R21+R33</f>
        <v>153.83918835931041</v>
      </c>
      <c r="S65" s="171">
        <f>S17-S23-S51+S21+S33</f>
        <v>142.68000000000004</v>
      </c>
      <c r="T65" s="171">
        <f>T17-T23-T51+T21+T33</f>
        <v>138.17000000000002</v>
      </c>
      <c r="U65" s="171">
        <f>U17-U23-U51+U21+U33</f>
        <v>132.49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pane xSplit="1" ySplit="1" topLeftCell="M2" activePane="bottomRight" state="frozen"/>
      <selection pane="topRight"/>
      <selection pane="bottomLeft"/>
      <selection pane="bottomRight" activeCell="S1" sqref="S1:U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7.25" style="3" customWidth="1"/>
    <col min="14" max="14" width="19.75" style="3" customWidth="1"/>
    <col min="15" max="15" width="16.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16384" width="9" style="3"/>
  </cols>
  <sheetData>
    <row r="1" spans="1:21" ht="14.25" customHeight="1">
      <c r="A1" s="4"/>
      <c r="B1" s="200" t="s">
        <v>100</v>
      </c>
      <c r="C1" s="200"/>
      <c r="D1" s="200"/>
      <c r="E1" s="200" t="s">
        <v>101</v>
      </c>
      <c r="F1" s="200"/>
      <c r="G1" s="201" t="s">
        <v>113</v>
      </c>
      <c r="H1" s="201"/>
      <c r="I1" s="201"/>
      <c r="J1" s="200" t="s">
        <v>118</v>
      </c>
      <c r="K1" s="200"/>
      <c r="L1" s="200"/>
      <c r="M1" s="200" t="s">
        <v>122</v>
      </c>
      <c r="N1" s="200"/>
      <c r="O1" s="200"/>
      <c r="P1" s="200" t="s">
        <v>123</v>
      </c>
      <c r="Q1" s="200"/>
      <c r="R1" s="200"/>
      <c r="S1" s="200" t="s">
        <v>124</v>
      </c>
      <c r="T1" s="200"/>
      <c r="U1" s="200"/>
    </row>
    <row r="2" spans="1:21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</row>
    <row r="3" spans="1:2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64">
        <v>2.6</v>
      </c>
      <c r="N3" s="164">
        <v>2.6</v>
      </c>
      <c r="O3" s="16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</row>
    <row r="4" spans="1:21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</row>
    <row r="5" spans="1:21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</row>
    <row r="6" spans="1:21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</row>
    <row r="7" spans="1:21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</row>
    <row r="8" spans="1:21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</row>
    <row r="9" spans="1:21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</row>
    <row r="10" spans="1:21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</row>
    <row r="11" spans="1:21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</row>
    <row r="12" spans="1:21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</row>
    <row r="13" spans="1:21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</row>
    <row r="14" spans="1:21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</row>
    <row r="15" spans="1:21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</row>
    <row r="16" spans="1:21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  <c r="S16" s="166">
        <f>S15+10*LOG10(S4)</f>
        <v>44</v>
      </c>
      <c r="T16" s="166">
        <f>T15+10*LOG10(T4)</f>
        <v>44</v>
      </c>
      <c r="U16" s="166">
        <f>U15+10*LOG10(U4)</f>
        <v>44</v>
      </c>
    </row>
    <row r="17" spans="1:21" ht="30">
      <c r="A17" s="8" t="s">
        <v>35</v>
      </c>
      <c r="B17" s="29">
        <f t="shared" ref="B17:L17" si="1">B15+10*LOG10(B42/1000000)</f>
        <v>44.126050015345747</v>
      </c>
      <c r="C17" s="29">
        <f t="shared" si="1"/>
        <v>44.126050015345747</v>
      </c>
      <c r="D17" s="29">
        <f t="shared" si="1"/>
        <v>44.126050015345747</v>
      </c>
      <c r="E17" s="29">
        <f t="shared" si="1"/>
        <v>35.245042248342827</v>
      </c>
      <c r="F17" s="29">
        <f t="shared" si="1"/>
        <v>35.245042248342827</v>
      </c>
      <c r="G17" s="73">
        <f t="shared" si="1"/>
        <v>35.126050015345747</v>
      </c>
      <c r="H17" s="73">
        <f t="shared" si="1"/>
        <v>35.126050015345747</v>
      </c>
      <c r="I17" s="73">
        <f t="shared" si="1"/>
        <v>35.126050015345747</v>
      </c>
      <c r="J17" s="13">
        <f t="shared" si="1"/>
        <v>45.09515014542631</v>
      </c>
      <c r="K17" s="13">
        <f t="shared" si="1"/>
        <v>45.09515014542631</v>
      </c>
      <c r="L17" s="13">
        <f t="shared" si="1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>P15+10*LOG10(P42/1000000)</f>
        <v>44.245042248342827</v>
      </c>
      <c r="Q17" s="164">
        <f>Q15+10*LOG10(Q42/1000000)</f>
        <v>44.245042248342827</v>
      </c>
      <c r="R17" s="164">
        <f>R15+10*LOG10(R42/1000000)</f>
        <v>44.245042248342827</v>
      </c>
      <c r="S17" s="166">
        <f>S15+10*LOG10(S42/1000000)</f>
        <v>35.126050015345747</v>
      </c>
      <c r="T17" s="166">
        <f>T15+10*LOG10(T42/1000000)</f>
        <v>35.126050015345747</v>
      </c>
      <c r="U17" s="166">
        <f>U15+10*LOG10(U42/1000000)</f>
        <v>35.126050015345747</v>
      </c>
    </row>
    <row r="18" spans="1:21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  <c r="S18" s="166">
        <f>S19+10*LOG10(S12/S13)-S20</f>
        <v>12.771212547196624</v>
      </c>
      <c r="T18" s="166">
        <f>T19+10*LOG10(T12/T13)-T20</f>
        <v>12.771212547196624</v>
      </c>
      <c r="U18" s="166">
        <f>U19+10*LOG10(U12/U13)-U20</f>
        <v>12.771212547196624</v>
      </c>
    </row>
    <row r="19" spans="1:21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</row>
    <row r="20" spans="1:21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</row>
    <row r="21" spans="1:21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3">10*LOG10(K13/K14)-8</f>
        <v>7.0514997831990609</v>
      </c>
      <c r="L21" s="17">
        <f t="shared" si="3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</row>
    <row r="22" spans="1:21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</row>
    <row r="23" spans="1:21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</row>
    <row r="24" spans="1:21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</row>
    <row r="25" spans="1:21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</row>
    <row r="26" spans="1:21" ht="15">
      <c r="A26" s="8" t="s">
        <v>51</v>
      </c>
      <c r="B26" s="29">
        <f t="shared" ref="B26:L26" si="4">B17+B18+B21-B23-B24</f>
        <v>61.89726256254238</v>
      </c>
      <c r="C26" s="29">
        <f t="shared" si="4"/>
        <v>61.89726256254238</v>
      </c>
      <c r="D26" s="29">
        <f t="shared" si="4"/>
        <v>61.89726256254238</v>
      </c>
      <c r="E26" s="29">
        <f t="shared" si="4"/>
        <v>43.67625479553945</v>
      </c>
      <c r="F26" s="29">
        <f t="shared" si="4"/>
        <v>43.67625479553945</v>
      </c>
      <c r="G26" s="73">
        <f t="shared" si="4"/>
        <v>52.897262562542373</v>
      </c>
      <c r="H26" s="73">
        <f t="shared" si="4"/>
        <v>52.897262562542373</v>
      </c>
      <c r="I26" s="73">
        <f t="shared" si="4"/>
        <v>52.897262562542373</v>
      </c>
      <c r="J26" s="13">
        <f t="shared" si="4"/>
        <v>59.267862475822</v>
      </c>
      <c r="K26" s="13">
        <f t="shared" si="4"/>
        <v>59.267862475822</v>
      </c>
      <c r="L26" s="13">
        <f t="shared" si="4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>P17+P18+P21-P23-P24</f>
        <v>69.06625479553945</v>
      </c>
      <c r="Q26" s="164">
        <f>Q17+Q18+Q21-Q23-Q24</f>
        <v>69.06625479553945</v>
      </c>
      <c r="R26" s="164">
        <f>R17+R18+R21-R23-R24</f>
        <v>69.06625479553945</v>
      </c>
      <c r="S26" s="166">
        <f>S17+S18+S21-S23-S24</f>
        <v>52.897262562542373</v>
      </c>
      <c r="T26" s="166">
        <f>T17+T18+T21-T23-T24</f>
        <v>52.897262562542373</v>
      </c>
      <c r="U26" s="166">
        <f>U17+U18+U21-U23-U24</f>
        <v>52.897262562542373</v>
      </c>
    </row>
    <row r="27" spans="1:21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</row>
    <row r="28" spans="1:21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</row>
    <row r="29" spans="1:21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</row>
    <row r="30" spans="1:21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66">
        <v>0</v>
      </c>
      <c r="N30" s="166">
        <v>-3</v>
      </c>
      <c r="O30" s="166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  <c r="S30" s="166">
        <f>S31+10*LOG10(S28/S29)-S32</f>
        <v>0</v>
      </c>
      <c r="T30" s="166">
        <f>T31+10*LOG10(T28/T29)-T32</f>
        <v>-3</v>
      </c>
      <c r="U30" s="166">
        <f>U31+10*LOG10(U28/U29)-U32</f>
        <v>-3</v>
      </c>
    </row>
    <row r="31" spans="1:21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</row>
    <row r="32" spans="1:21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</row>
    <row r="33" spans="1:21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</row>
    <row r="34" spans="1:21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</row>
    <row r="35" spans="1:21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</row>
    <row r="36" spans="1:21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</row>
    <row r="37" spans="1:21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</row>
    <row r="38" spans="1:21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</row>
    <row r="39" spans="1:21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</row>
    <row r="40" spans="1:21" ht="30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>10*LOG10(10^((P35+P36)/10)+10^(P38/10))</f>
        <v>-164.98918835931039</v>
      </c>
      <c r="Q40" s="164">
        <f>10*LOG10(10^((Q35+Q36)/10)+10^(Q38/10))</f>
        <v>-164.98918835931039</v>
      </c>
      <c r="R40" s="164">
        <f>10*LOG10(10^((R35+R36)/10)+10^(R38/10))</f>
        <v>-164.98918835931039</v>
      </c>
      <c r="S40" s="166">
        <f>10*LOG10(10^((S35+S36)/10)+10^(S38/10))</f>
        <v>-167.00000000000003</v>
      </c>
      <c r="T40" s="166">
        <f>10*LOG10(10^((T35+T36)/10)+10^(T38/10))</f>
        <v>-167.00000000000003</v>
      </c>
      <c r="U40" s="166">
        <f>10*LOG10(10^((U35+U36)/10)+10^(U38/10))</f>
        <v>-167.00000000000003</v>
      </c>
    </row>
    <row r="41" spans="1:21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</row>
    <row r="42" spans="1:21" ht="15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7">36*360*1000</f>
        <v>12960000</v>
      </c>
      <c r="I42" s="76">
        <f t="shared" si="7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8">37*360*1000</f>
        <v>13320000</v>
      </c>
      <c r="R42" s="182">
        <f t="shared" si="8"/>
        <v>13320000</v>
      </c>
      <c r="S42" s="169">
        <f>36*360*1000</f>
        <v>12960000</v>
      </c>
      <c r="T42" s="169">
        <f t="shared" ref="T42:U42" si="9">36*360*1000</f>
        <v>12960000</v>
      </c>
      <c r="U42" s="169">
        <f t="shared" si="9"/>
        <v>12960000</v>
      </c>
    </row>
    <row r="43" spans="1:21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</row>
    <row r="44" spans="1:21" ht="15">
      <c r="A44" s="8" t="s">
        <v>72</v>
      </c>
      <c r="B44" s="29">
        <f t="shared" ref="B44:L44" si="10">B40+10*LOG10(B42)</f>
        <v>-95.873949984654288</v>
      </c>
      <c r="C44" s="29">
        <f t="shared" si="10"/>
        <v>-95.873949984654288</v>
      </c>
      <c r="D44" s="29">
        <f t="shared" si="10"/>
        <v>-95.873949984654288</v>
      </c>
      <c r="E44" s="29">
        <f t="shared" si="10"/>
        <v>-95.754957751657201</v>
      </c>
      <c r="F44" s="29">
        <f t="shared" si="10"/>
        <v>-95.754957751657201</v>
      </c>
      <c r="G44" s="73">
        <f t="shared" si="10"/>
        <v>-95.873949984654288</v>
      </c>
      <c r="H44" s="73">
        <f t="shared" si="10"/>
        <v>-95.873949984654288</v>
      </c>
      <c r="I44" s="73">
        <f t="shared" si="10"/>
        <v>-95.873949984654288</v>
      </c>
      <c r="J44" s="13">
        <f t="shared" si="10"/>
        <v>-92.894038213884087</v>
      </c>
      <c r="K44" s="13">
        <f t="shared" si="10"/>
        <v>-92.894038213884087</v>
      </c>
      <c r="L44" s="13">
        <f t="shared" si="10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>P40+10*LOG10(P42)</f>
        <v>-93.744146110967563</v>
      </c>
      <c r="Q44" s="164">
        <f>Q40+10*LOG10(Q42)</f>
        <v>-93.744146110967563</v>
      </c>
      <c r="R44" s="164">
        <f>R40+10*LOG10(R42)</f>
        <v>-93.744146110967563</v>
      </c>
      <c r="S44" s="166">
        <f>S40+10*LOG10(S42)</f>
        <v>-95.873949984654288</v>
      </c>
      <c r="T44" s="166">
        <f>T40+10*LOG10(T42)</f>
        <v>-95.873949984654288</v>
      </c>
      <c r="U44" s="166">
        <f>U40+10*LOG10(U42)</f>
        <v>-95.873949984654288</v>
      </c>
    </row>
    <row r="45" spans="1:21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</row>
    <row r="46" spans="1:21" ht="15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</row>
    <row r="47" spans="1:21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</row>
    <row r="48" spans="1:21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</row>
    <row r="49" spans="1:21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</row>
    <row r="50" spans="1:21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</row>
    <row r="51" spans="1:21" ht="30">
      <c r="A51" s="8" t="s">
        <v>82</v>
      </c>
      <c r="B51" s="29">
        <f t="shared" ref="B51:L51" si="11">B44+B46+B47-B49</f>
        <v>-101.47394998465428</v>
      </c>
      <c r="C51" s="29">
        <f t="shared" si="11"/>
        <v>-98.873949984654288</v>
      </c>
      <c r="D51" s="29">
        <f t="shared" si="11"/>
        <v>-95.273949984654294</v>
      </c>
      <c r="E51" s="29">
        <f t="shared" si="11"/>
        <v>-105.8849577516572</v>
      </c>
      <c r="F51" s="29">
        <f t="shared" si="11"/>
        <v>-102.21495775165721</v>
      </c>
      <c r="G51" s="73">
        <f t="shared" si="11"/>
        <v>-104.29394998465429</v>
      </c>
      <c r="H51" s="73">
        <f t="shared" si="11"/>
        <v>-101.06394998465429</v>
      </c>
      <c r="I51" s="73">
        <f t="shared" si="11"/>
        <v>-97.29394998465429</v>
      </c>
      <c r="J51" s="13">
        <f t="shared" si="11"/>
        <v>-100.33403821388409</v>
      </c>
      <c r="K51" s="13">
        <f t="shared" si="11"/>
        <v>-96.264038213884092</v>
      </c>
      <c r="L51" s="13">
        <f t="shared" si="11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>P44+P46+P47-P49</f>
        <v>-97.844146110967557</v>
      </c>
      <c r="Q51" s="164">
        <f>Q44+Q46+Q47-Q49</f>
        <v>-94.944146110967566</v>
      </c>
      <c r="R51" s="164">
        <f>R44+R46+R47-R49</f>
        <v>-91.444146110967566</v>
      </c>
      <c r="S51" s="166">
        <f>S44+S46+S47-S49</f>
        <v>-101.68394998465429</v>
      </c>
      <c r="T51" s="166">
        <f>T44+T46+T47-T49</f>
        <v>-98.123949984654288</v>
      </c>
      <c r="U51" s="166">
        <f>U44+U46+U47-U49</f>
        <v>-94.003949984654284</v>
      </c>
    </row>
    <row r="52" spans="1:21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</row>
    <row r="53" spans="1:21" ht="30">
      <c r="A53" s="22" t="s">
        <v>85</v>
      </c>
      <c r="B53" s="37">
        <f t="shared" ref="B53:G53" si="12">B26+B30+B33-B34-B51</f>
        <v>162.37121254719665</v>
      </c>
      <c r="C53" s="37">
        <f t="shared" si="12"/>
        <v>156.77121254719668</v>
      </c>
      <c r="D53" s="37">
        <f t="shared" si="12"/>
        <v>153.17121254719666</v>
      </c>
      <c r="E53" s="37">
        <f t="shared" si="12"/>
        <v>148.56121254719665</v>
      </c>
      <c r="F53" s="37">
        <f t="shared" si="12"/>
        <v>141.89121254719666</v>
      </c>
      <c r="G53" s="78">
        <f t="shared" si="12"/>
        <v>156.19121254719667</v>
      </c>
      <c r="H53" s="78">
        <f t="shared" ref="H53:L53" si="13">H26+H30+H33-H34-H51</f>
        <v>149.96121254719665</v>
      </c>
      <c r="I53" s="78">
        <f t="shared" si="13"/>
        <v>146.19121254719667</v>
      </c>
      <c r="J53" s="23">
        <f t="shared" si="13"/>
        <v>158.6019006897061</v>
      </c>
      <c r="K53" s="23">
        <f t="shared" si="13"/>
        <v>151.53190068970611</v>
      </c>
      <c r="L53" s="23">
        <f t="shared" si="13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14">Q26+Q30+Q33-Q34-Q51</f>
        <v>160.01040090650702</v>
      </c>
      <c r="R53" s="171">
        <f t="shared" si="14"/>
        <v>156.51040090650702</v>
      </c>
      <c r="S53" s="171">
        <f>S26+S30+S33-S34-S51</f>
        <v>153.58121254719666</v>
      </c>
      <c r="T53" s="171">
        <f t="shared" ref="T53:U53" si="15">T26+T30+T33-T34-T51</f>
        <v>147.02121254719665</v>
      </c>
      <c r="U53" s="171">
        <f t="shared" si="15"/>
        <v>142.90121254719665</v>
      </c>
    </row>
    <row r="54" spans="1:21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</row>
    <row r="55" spans="1:21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</row>
    <row r="56" spans="1:21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</row>
    <row r="57" spans="1:21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</row>
    <row r="58" spans="1:21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</row>
    <row r="59" spans="1:21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</row>
    <row r="60" spans="1:21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</row>
    <row r="61" spans="1:21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</row>
    <row r="62" spans="1:21" ht="30">
      <c r="A62" s="22" t="s">
        <v>109</v>
      </c>
      <c r="B62" s="37">
        <f t="shared" ref="B62:G62" si="16">B53-B57+B58-B59+B60</f>
        <v>131.64121254719666</v>
      </c>
      <c r="C62" s="37">
        <f t="shared" si="16"/>
        <v>126.04121254719669</v>
      </c>
      <c r="D62" s="37">
        <f t="shared" si="16"/>
        <v>122.44121254719667</v>
      </c>
      <c r="E62" s="37">
        <f t="shared" si="16"/>
        <v>117.83121254719666</v>
      </c>
      <c r="F62" s="37">
        <f t="shared" si="16"/>
        <v>111.16121254719667</v>
      </c>
      <c r="G62" s="78">
        <f t="shared" si="16"/>
        <v>125.46121254719668</v>
      </c>
      <c r="H62" s="78">
        <f t="shared" ref="H62:L62" si="17">H53-H57+H58-H59+H60</f>
        <v>119.23121254719666</v>
      </c>
      <c r="I62" s="78">
        <f t="shared" si="17"/>
        <v>115.46121254719668</v>
      </c>
      <c r="J62" s="23">
        <f t="shared" si="17"/>
        <v>127.87190068970611</v>
      </c>
      <c r="K62" s="23">
        <f t="shared" si="17"/>
        <v>120.80190068970612</v>
      </c>
      <c r="L62" s="23">
        <f t="shared" si="17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18">Q53-Q57+Q58-Q59+Q60</f>
        <v>129.28040090650703</v>
      </c>
      <c r="R62" s="171">
        <f t="shared" si="18"/>
        <v>125.78040090650703</v>
      </c>
      <c r="S62" s="171">
        <f>S53-S57+S58-S59+S60</f>
        <v>122.85121254719667</v>
      </c>
      <c r="T62" s="171">
        <f t="shared" ref="T62:U62" si="19">T53-T57+T58-T59+T60</f>
        <v>116.29121254719666</v>
      </c>
      <c r="U62" s="171">
        <f t="shared" si="19"/>
        <v>112.17121254719666</v>
      </c>
    </row>
    <row r="63" spans="1:21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</row>
    <row r="64" spans="1:21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</row>
    <row r="65" spans="1:21" ht="15">
      <c r="A65" s="22" t="s">
        <v>98</v>
      </c>
      <c r="B65" s="37">
        <f t="shared" ref="B65:L65" si="20">B17-B23-B51+B21+B33</f>
        <v>153.60000000000002</v>
      </c>
      <c r="C65" s="37">
        <f t="shared" si="20"/>
        <v>151.00000000000003</v>
      </c>
      <c r="D65" s="37">
        <f t="shared" si="20"/>
        <v>147.40000000000003</v>
      </c>
      <c r="E65" s="37">
        <f t="shared" si="20"/>
        <v>142.74000000000004</v>
      </c>
      <c r="F65" s="37">
        <f t="shared" si="20"/>
        <v>139.07000000000005</v>
      </c>
      <c r="G65" s="78">
        <f t="shared" si="20"/>
        <v>147.42000000000004</v>
      </c>
      <c r="H65" s="78">
        <f t="shared" si="20"/>
        <v>144.19000000000003</v>
      </c>
      <c r="I65" s="78">
        <f t="shared" si="20"/>
        <v>140.42000000000004</v>
      </c>
      <c r="J65" s="23">
        <f t="shared" si="20"/>
        <v>152.48068814250945</v>
      </c>
      <c r="K65" s="23">
        <f t="shared" si="20"/>
        <v>148.41068814250946</v>
      </c>
      <c r="L65" s="23">
        <f t="shared" si="20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>P17-P23-P51+P21+P33</f>
        <v>157.1391883593104</v>
      </c>
      <c r="Q65" s="171">
        <f>Q17-Q23-Q51+Q21+Q33</f>
        <v>154.23918835931039</v>
      </c>
      <c r="R65" s="171">
        <f>R17-R23-R51+R21+R33</f>
        <v>150.73918835931039</v>
      </c>
      <c r="S65" s="171">
        <f>S17-S23-S51+S21+S33</f>
        <v>144.81000000000003</v>
      </c>
      <c r="T65" s="171">
        <f>T17-T23-T51+T21+T33</f>
        <v>141.25000000000003</v>
      </c>
      <c r="U65" s="171">
        <f>U17-U23-U51+U21+U33</f>
        <v>137.13000000000002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pane xSplit="1" ySplit="1" topLeftCell="J2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20.125" style="3" customWidth="1"/>
    <col min="11" max="11" width="21.7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384" width="9" style="3"/>
  </cols>
  <sheetData>
    <row r="1" spans="1:15" ht="14.25" customHeight="1">
      <c r="A1" s="4"/>
      <c r="B1" s="200" t="s">
        <v>100</v>
      </c>
      <c r="C1" s="200"/>
      <c r="D1" s="200" t="s">
        <v>101</v>
      </c>
      <c r="E1" s="200"/>
      <c r="F1" s="201" t="s">
        <v>113</v>
      </c>
      <c r="G1" s="201"/>
      <c r="H1" s="200" t="s">
        <v>116</v>
      </c>
      <c r="I1" s="200"/>
      <c r="J1" s="200" t="s">
        <v>122</v>
      </c>
      <c r="K1" s="200"/>
      <c r="L1" s="200" t="s">
        <v>123</v>
      </c>
      <c r="M1" s="200"/>
      <c r="N1" s="200" t="s">
        <v>124</v>
      </c>
      <c r="O1" s="200"/>
    </row>
    <row r="2" spans="1:1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</row>
    <row r="3" spans="1:15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4</v>
      </c>
      <c r="M3" s="178">
        <v>4</v>
      </c>
      <c r="N3" s="178">
        <v>2.6</v>
      </c>
      <c r="O3" s="178">
        <v>2.6</v>
      </c>
    </row>
    <row r="4" spans="1:15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</row>
    <row r="5" spans="1:15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</row>
    <row r="6" spans="1:15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</row>
    <row r="7" spans="1:15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</row>
    <row r="8" spans="1:15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</row>
    <row r="9" spans="1:15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</row>
    <row r="10" spans="1:15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</row>
    <row r="11" spans="1:1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</row>
    <row r="12" spans="1:1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</row>
    <row r="13" spans="1:15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</row>
    <row r="14" spans="1:15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</row>
    <row r="15" spans="1:15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</row>
    <row r="16" spans="1:15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</row>
    <row r="17" spans="1:15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</row>
    <row r="18" spans="1:15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>L19+10*LOG10(L12/L14)-L20</f>
        <v>0</v>
      </c>
      <c r="M18" s="178">
        <f>M19+10*LOG10(M12/M14)-M20</f>
        <v>-3</v>
      </c>
      <c r="N18" s="176">
        <f>N19+10*LOG10(N12/N14)-N20</f>
        <v>0</v>
      </c>
      <c r="O18" s="176">
        <f>O19+10*LOG10(O12/O14)-O20</f>
        <v>-3</v>
      </c>
    </row>
    <row r="19" spans="1:15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</row>
    <row r="20" spans="1:15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</row>
    <row r="21" spans="1:1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</row>
    <row r="22" spans="1:15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</row>
    <row r="23" spans="1:15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</row>
    <row r="24" spans="1:15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</row>
    <row r="25" spans="1:15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</row>
    <row r="26" spans="1:15" ht="15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  <c r="J26" s="178">
        <v>22</v>
      </c>
      <c r="K26" s="178">
        <v>19</v>
      </c>
      <c r="L26" s="178">
        <f>L17+L18+L21-L23-L24</f>
        <v>22</v>
      </c>
      <c r="M26" s="178">
        <f>M17+M18+M21-M23-M24</f>
        <v>19</v>
      </c>
      <c r="N26" s="178">
        <f>N17+N18+N21-N23-N24</f>
        <v>22</v>
      </c>
      <c r="O26" s="178">
        <f>O17+O18+O21-O23-O24</f>
        <v>19</v>
      </c>
    </row>
    <row r="27" spans="1:1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</row>
    <row r="28" spans="1:15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</row>
    <row r="29" spans="1:15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</row>
    <row r="30" spans="1:15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6">
        <v>12.771212547196624</v>
      </c>
      <c r="K30" s="176">
        <v>12.771212547196624</v>
      </c>
      <c r="L30" s="178">
        <f>L31+10*LOG10(L28/L13)-L32</f>
        <v>12.771212547196624</v>
      </c>
      <c r="M30" s="178">
        <f>M31+10*LOG10(M28/M13)-M32</f>
        <v>12.771212547196624</v>
      </c>
      <c r="N30" s="176">
        <f>N31+10*LOG10(N28/N13)-N32</f>
        <v>12.771212547196624</v>
      </c>
      <c r="O30" s="176">
        <f>O31+10*LOG10(O28/O13)-O32</f>
        <v>12.771212547196624</v>
      </c>
    </row>
    <row r="31" spans="1:15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</row>
    <row r="32" spans="1:15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</row>
    <row r="33" spans="1:15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</row>
    <row r="34" spans="1:15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</row>
    <row r="35" spans="1:15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</row>
    <row r="36" spans="1:15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</row>
    <row r="37" spans="1:15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</row>
    <row r="38" spans="1:15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</row>
    <row r="39" spans="1:15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</row>
    <row r="40" spans="1:15" ht="30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  <c r="J40" s="176">
        <v>-169.00000000000003</v>
      </c>
      <c r="K40" s="176">
        <v>-169.00000000000003</v>
      </c>
      <c r="L40" s="178">
        <f>10*LOG10(10^((L35+L36)/10)+10^(L38/10))</f>
        <v>-164.03352307536667</v>
      </c>
      <c r="M40" s="178">
        <f>10*LOG10(10^((M35+M36)/10)+10^(M38/10))</f>
        <v>-164.03352307536667</v>
      </c>
      <c r="N40" s="176">
        <f>10*LOG10(10^((N35+N36)/10)+10^(N38/10))</f>
        <v>-169.00000000000003</v>
      </c>
      <c r="O40" s="176">
        <f>10*LOG10(10^((O35+O36)/10)+10^(O38/10))</f>
        <v>-169.00000000000003</v>
      </c>
    </row>
    <row r="41" spans="1:15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</row>
    <row r="42" spans="1:15" ht="15">
      <c r="A42" s="42" t="s">
        <v>70</v>
      </c>
      <c r="B42" s="13">
        <f t="shared" ref="B42:I42" si="4">2*360*1000</f>
        <v>720000</v>
      </c>
      <c r="C42" s="13">
        <f t="shared" si="4"/>
        <v>720000</v>
      </c>
      <c r="D42" s="13">
        <f t="shared" si="4"/>
        <v>720000</v>
      </c>
      <c r="E42" s="13">
        <f t="shared" si="4"/>
        <v>720000</v>
      </c>
      <c r="F42" s="86">
        <f t="shared" si="4"/>
        <v>720000</v>
      </c>
      <c r="G42" s="86">
        <f t="shared" si="4"/>
        <v>720000</v>
      </c>
      <c r="H42" s="13">
        <f t="shared" si="4"/>
        <v>720000</v>
      </c>
      <c r="I42" s="13">
        <f t="shared" si="4"/>
        <v>720000</v>
      </c>
      <c r="J42" s="176">
        <v>720000</v>
      </c>
      <c r="K42" s="176">
        <v>720000</v>
      </c>
      <c r="L42" s="178">
        <f>2*360*1000</f>
        <v>720000</v>
      </c>
      <c r="M42" s="178">
        <f>2*360*1000</f>
        <v>720000</v>
      </c>
      <c r="N42" s="176">
        <f>2*360*1000</f>
        <v>720000</v>
      </c>
      <c r="O42" s="176">
        <f>2*360*1000</f>
        <v>720000</v>
      </c>
    </row>
    <row r="43" spans="1:15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</row>
    <row r="44" spans="1:15" ht="15">
      <c r="A44" s="8" t="s">
        <v>72</v>
      </c>
      <c r="B44" s="13">
        <f t="shared" ref="B44:I44" si="5">B40+10*LOG10(B42)</f>
        <v>-110.42667503568734</v>
      </c>
      <c r="C44" s="13">
        <f t="shared" si="5"/>
        <v>-110.42667503568734</v>
      </c>
      <c r="D44" s="13">
        <f t="shared" si="5"/>
        <v>-110.42667503568734</v>
      </c>
      <c r="E44" s="13">
        <f t="shared" si="5"/>
        <v>-110.42667503568734</v>
      </c>
      <c r="F44" s="86">
        <f t="shared" si="5"/>
        <v>-110.42667503568734</v>
      </c>
      <c r="G44" s="86">
        <f t="shared" si="5"/>
        <v>-110.42667503568734</v>
      </c>
      <c r="H44" s="13">
        <f t="shared" si="5"/>
        <v>-105.46019811105398</v>
      </c>
      <c r="I44" s="13">
        <f t="shared" si="5"/>
        <v>-105.46019811105398</v>
      </c>
      <c r="J44" s="176">
        <v>-110.42667503568734</v>
      </c>
      <c r="K44" s="176">
        <v>-110.42667503568734</v>
      </c>
      <c r="L44" s="178">
        <f>L40+10*LOG10(L42)</f>
        <v>-105.46019811105398</v>
      </c>
      <c r="M44" s="178">
        <f>M40+10*LOG10(M42)</f>
        <v>-105.46019811105398</v>
      </c>
      <c r="N44" s="176">
        <f>N40+10*LOG10(N42)</f>
        <v>-110.42667503568734</v>
      </c>
      <c r="O44" s="176">
        <f>O40+10*LOG10(O42)</f>
        <v>-110.42667503568734</v>
      </c>
    </row>
    <row r="45" spans="1:15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</row>
    <row r="46" spans="1:15" ht="15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</row>
    <row r="47" spans="1:15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</row>
    <row r="48" spans="1:15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</row>
    <row r="49" spans="1:15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</row>
    <row r="50" spans="1:15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</row>
    <row r="51" spans="1:15" ht="30">
      <c r="A51" s="8" t="s">
        <v>82</v>
      </c>
      <c r="B51" s="13">
        <f t="shared" ref="B51:I51" si="6">B44+B46+B47-B49</f>
        <v>-110.22667503568734</v>
      </c>
      <c r="C51" s="13">
        <f t="shared" si="6"/>
        <v>-110.22667503568734</v>
      </c>
      <c r="D51" s="13">
        <f t="shared" si="6"/>
        <v>-115.46667503568735</v>
      </c>
      <c r="E51" s="13">
        <f t="shared" si="6"/>
        <v>-115.46667503568735</v>
      </c>
      <c r="F51" s="86">
        <f t="shared" si="6"/>
        <v>-114.91667503568733</v>
      </c>
      <c r="G51" s="86">
        <f t="shared" si="6"/>
        <v>-114.91667503568733</v>
      </c>
      <c r="H51" s="13">
        <f t="shared" si="6"/>
        <v>-105.49019811105399</v>
      </c>
      <c r="I51" s="13">
        <f t="shared" si="6"/>
        <v>-105.75019811105399</v>
      </c>
      <c r="J51" s="176">
        <v>-113.72667503568734</v>
      </c>
      <c r="K51" s="176">
        <v>-113.72667503568734</v>
      </c>
      <c r="L51" s="178">
        <f>L44+L46+L47-L49</f>
        <v>-100.46019811105398</v>
      </c>
      <c r="M51" s="178">
        <f>M44+M46+M47-M49</f>
        <v>-100.46019811105398</v>
      </c>
      <c r="N51" s="176">
        <f>N44+N46+N47-N49</f>
        <v>-114.86667503568734</v>
      </c>
      <c r="O51" s="176">
        <f>O44+O46+O47-O49</f>
        <v>-114.86667503568734</v>
      </c>
    </row>
    <row r="52" spans="1:15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</row>
    <row r="53" spans="1:15" ht="30">
      <c r="A53" s="45" t="s">
        <v>85</v>
      </c>
      <c r="B53" s="23">
        <f t="shared" ref="B53:I53" si="7">B26+B30+B33-B34-B51</f>
        <v>149.99788758288395</v>
      </c>
      <c r="C53" s="23">
        <f t="shared" si="7"/>
        <v>146.99788758288395</v>
      </c>
      <c r="D53" s="23">
        <f t="shared" si="7"/>
        <v>156.32788758288396</v>
      </c>
      <c r="E53" s="23">
        <f t="shared" si="7"/>
        <v>153.32788758288396</v>
      </c>
      <c r="F53" s="90">
        <f t="shared" si="7"/>
        <v>154.68788758288395</v>
      </c>
      <c r="G53" s="90">
        <f t="shared" si="7"/>
        <v>151.68788758288395</v>
      </c>
      <c r="H53" s="23">
        <f t="shared" si="7"/>
        <v>152.31291044144967</v>
      </c>
      <c r="I53" s="23">
        <f t="shared" si="7"/>
        <v>149.57291044144966</v>
      </c>
      <c r="J53" s="179">
        <v>153.49788758288395</v>
      </c>
      <c r="K53" s="179">
        <v>150.49788758288395</v>
      </c>
      <c r="L53" s="179">
        <f>L26+L30+L33-L34-L51</f>
        <v>147.28141065825059</v>
      </c>
      <c r="M53" s="179">
        <f>M26+M30+M33-M34-M51</f>
        <v>144.28141065825059</v>
      </c>
      <c r="N53" s="179">
        <f>N26+N30+N33-N34-N51</f>
        <v>154.63788758288396</v>
      </c>
      <c r="O53" s="179">
        <f>O26+O30+O33-O34-O51</f>
        <v>151.63788758288396</v>
      </c>
    </row>
    <row r="54" spans="1:1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</row>
    <row r="55" spans="1:1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</row>
    <row r="56" spans="1:15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</row>
    <row r="57" spans="1:15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</row>
    <row r="58" spans="1:15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</row>
    <row r="59" spans="1:15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</row>
    <row r="60" spans="1:15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</row>
    <row r="61" spans="1:15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</row>
    <row r="62" spans="1:15" ht="30">
      <c r="A62" s="45" t="s">
        <v>109</v>
      </c>
      <c r="B62" s="23">
        <f t="shared" ref="B62:I62" si="8">B53-B57+B58-B59+B60</f>
        <v>119.26788758288396</v>
      </c>
      <c r="C62" s="23">
        <f t="shared" si="8"/>
        <v>116.26788758288396</v>
      </c>
      <c r="D62" s="23">
        <f t="shared" si="8"/>
        <v>125.59788758288397</v>
      </c>
      <c r="E62" s="23">
        <f t="shared" si="8"/>
        <v>122.59788758288397</v>
      </c>
      <c r="F62" s="90">
        <f t="shared" si="8"/>
        <v>123.95788758288396</v>
      </c>
      <c r="G62" s="90">
        <f t="shared" si="8"/>
        <v>120.95788758288396</v>
      </c>
      <c r="H62" s="23">
        <f t="shared" si="8"/>
        <v>121.58291044144968</v>
      </c>
      <c r="I62" s="23">
        <f t="shared" si="8"/>
        <v>118.84291044144967</v>
      </c>
      <c r="J62" s="179">
        <v>122.76788758288396</v>
      </c>
      <c r="K62" s="179">
        <v>119.76788758288396</v>
      </c>
      <c r="L62" s="179">
        <f>L53-L57+L58-L59+L60</f>
        <v>116.5514106582506</v>
      </c>
      <c r="M62" s="179">
        <f>M53-M57+M58-M59+M60</f>
        <v>113.5514106582506</v>
      </c>
      <c r="N62" s="179">
        <f>N53-N57+N58-N59+N60</f>
        <v>123.90788758288397</v>
      </c>
      <c r="O62" s="179">
        <f>O53-O57+O58-O59+O60</f>
        <v>120.90788758288397</v>
      </c>
    </row>
    <row r="63" spans="1:15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</row>
    <row r="64" spans="1:15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</row>
    <row r="65" spans="1:15" ht="15">
      <c r="A65" s="45" t="s">
        <v>98</v>
      </c>
      <c r="B65" s="23">
        <f t="shared" ref="B65:I65" si="9">B17-B23-B51+B21+B33</f>
        <v>141.22667503568732</v>
      </c>
      <c r="C65" s="23">
        <f t="shared" si="9"/>
        <v>141.22667503568732</v>
      </c>
      <c r="D65" s="23">
        <f t="shared" si="9"/>
        <v>150.50667503568732</v>
      </c>
      <c r="E65" s="23">
        <f t="shared" si="9"/>
        <v>150.50667503568732</v>
      </c>
      <c r="F65" s="90">
        <f t="shared" si="9"/>
        <v>145.91667503568732</v>
      </c>
      <c r="G65" s="90">
        <f t="shared" si="9"/>
        <v>145.91667503568732</v>
      </c>
      <c r="H65" s="23">
        <f t="shared" si="9"/>
        <v>143.54169789425305</v>
      </c>
      <c r="I65" s="23">
        <f t="shared" si="9"/>
        <v>143.80169789425304</v>
      </c>
      <c r="J65" s="179">
        <v>144.72667503568732</v>
      </c>
      <c r="K65" s="179">
        <v>144.72667503568732</v>
      </c>
      <c r="L65" s="179">
        <f>L17-L23-L51+L21+L33</f>
        <v>138.510198111054</v>
      </c>
      <c r="M65" s="179">
        <f>M17-M23-M51+M21+M33</f>
        <v>138.510198111054</v>
      </c>
      <c r="N65" s="179">
        <f>N17-N23-N51+N21+N33</f>
        <v>145.86667503568734</v>
      </c>
      <c r="O65" s="179">
        <f>O17-O23-O51+O21+O33</f>
        <v>145.86667503568734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53" activePane="bottomRight" state="frozen"/>
      <selection pane="topRight"/>
      <selection pane="bottomLeft"/>
      <selection pane="bottomRight" activeCell="B1" sqref="B1:D65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16384" width="9" style="3"/>
  </cols>
  <sheetData>
    <row r="1" spans="1:4" ht="14.25" customHeight="1">
      <c r="A1" s="4"/>
      <c r="B1" s="200" t="s">
        <v>120</v>
      </c>
      <c r="C1" s="200"/>
      <c r="D1" s="200"/>
    </row>
    <row r="2" spans="1:4" ht="29.25" customHeight="1">
      <c r="A2" s="5" t="s">
        <v>10</v>
      </c>
      <c r="B2" s="6" t="s">
        <v>102</v>
      </c>
      <c r="C2" s="7" t="s">
        <v>103</v>
      </c>
      <c r="D2" s="7" t="s">
        <v>104</v>
      </c>
    </row>
    <row r="3" spans="1:4" ht="15">
      <c r="A3" s="8" t="s">
        <v>11</v>
      </c>
      <c r="B3" s="9">
        <v>4</v>
      </c>
      <c r="C3" s="9">
        <v>4</v>
      </c>
      <c r="D3" s="9">
        <v>4</v>
      </c>
    </row>
    <row r="4" spans="1:4" ht="15">
      <c r="A4" s="8" t="s">
        <v>13</v>
      </c>
      <c r="B4" s="9">
        <v>100</v>
      </c>
      <c r="C4" s="9">
        <v>100</v>
      </c>
      <c r="D4" s="9">
        <v>100</v>
      </c>
    </row>
    <row r="5" spans="1:4" ht="15">
      <c r="A5" s="8" t="s">
        <v>15</v>
      </c>
      <c r="B5" s="10" t="s">
        <v>16</v>
      </c>
      <c r="C5" s="10" t="s">
        <v>16</v>
      </c>
      <c r="D5" s="10" t="s">
        <v>16</v>
      </c>
    </row>
    <row r="6" spans="1:4" ht="15">
      <c r="A6" s="8" t="s">
        <v>17</v>
      </c>
      <c r="B6" s="13" t="s">
        <v>16</v>
      </c>
      <c r="C6" s="13" t="s">
        <v>16</v>
      </c>
      <c r="D6" s="13" t="s">
        <v>16</v>
      </c>
    </row>
    <row r="7" spans="1:4" ht="15">
      <c r="A7" s="8" t="s">
        <v>19</v>
      </c>
      <c r="B7" s="58" t="s">
        <v>121</v>
      </c>
      <c r="C7" s="58" t="s">
        <v>121</v>
      </c>
      <c r="D7" s="58" t="s">
        <v>121</v>
      </c>
    </row>
    <row r="8" spans="1:4" ht="15">
      <c r="A8" s="8" t="s">
        <v>20</v>
      </c>
      <c r="B8" s="58">
        <v>0.01</v>
      </c>
      <c r="C8" s="58">
        <v>0.01</v>
      </c>
      <c r="D8" s="58">
        <v>0.01</v>
      </c>
    </row>
    <row r="9" spans="1:4" ht="15">
      <c r="A9" s="8" t="s">
        <v>21</v>
      </c>
      <c r="B9" s="13" t="s">
        <v>22</v>
      </c>
      <c r="C9" s="13" t="s">
        <v>22</v>
      </c>
      <c r="D9" s="13" t="s">
        <v>22</v>
      </c>
    </row>
    <row r="10" spans="1:4" ht="15">
      <c r="A10" s="8" t="s">
        <v>23</v>
      </c>
      <c r="B10" s="13">
        <v>3</v>
      </c>
      <c r="C10" s="13">
        <v>3</v>
      </c>
      <c r="D10" s="13">
        <v>3</v>
      </c>
    </row>
    <row r="11" spans="1:4">
      <c r="A11" s="5" t="s">
        <v>24</v>
      </c>
      <c r="B11" s="14"/>
      <c r="C11" s="14"/>
      <c r="D11" s="14"/>
    </row>
    <row r="12" spans="1:4" ht="15" customHeight="1">
      <c r="A12" s="8" t="s">
        <v>25</v>
      </c>
      <c r="B12" s="13">
        <v>192</v>
      </c>
      <c r="C12" s="13">
        <v>192</v>
      </c>
      <c r="D12" s="13">
        <v>192</v>
      </c>
    </row>
    <row r="13" spans="1:4" ht="15">
      <c r="A13" s="8" t="s">
        <v>27</v>
      </c>
      <c r="B13" s="13">
        <v>64</v>
      </c>
      <c r="C13" s="13">
        <v>64</v>
      </c>
      <c r="D13" s="13">
        <v>64</v>
      </c>
    </row>
    <row r="14" spans="1:4" ht="15">
      <c r="A14" s="16" t="s">
        <v>29</v>
      </c>
      <c r="B14" s="96">
        <v>2</v>
      </c>
      <c r="C14" s="96">
        <v>2</v>
      </c>
      <c r="D14" s="96">
        <v>2</v>
      </c>
    </row>
    <row r="15" spans="1:4" ht="15">
      <c r="A15" s="16" t="s">
        <v>31</v>
      </c>
      <c r="B15" s="97">
        <v>33</v>
      </c>
      <c r="C15" s="97">
        <v>33</v>
      </c>
      <c r="D15" s="97">
        <v>33</v>
      </c>
    </row>
    <row r="16" spans="1:4" ht="15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</row>
    <row r="17" spans="1:4" ht="30">
      <c r="A17" s="8" t="s">
        <v>35</v>
      </c>
      <c r="B17" s="13">
        <f>B15+10*LOG10(B42/1000000)</f>
        <v>41.57332496431269</v>
      </c>
      <c r="C17" s="13">
        <f>C15+10*LOG10(C42/1000000)</f>
        <v>41.57332496431269</v>
      </c>
      <c r="D17" s="13">
        <f>D15+10*LOG10(D42/1000000)</f>
        <v>41.57332496431269</v>
      </c>
    </row>
    <row r="18" spans="1:4" ht="45">
      <c r="A18" s="15" t="s">
        <v>37</v>
      </c>
      <c r="B18" s="13">
        <f>B19+10*LOG10(B12/B13)-B20</f>
        <v>10.121212547196624</v>
      </c>
      <c r="C18" s="13">
        <f>C19+10*LOG10(C12/C13)-C20</f>
        <v>10.121212547196624</v>
      </c>
      <c r="D18" s="13">
        <f>D19+10*LOG10(D12/D13)-D20</f>
        <v>10.121212547196624</v>
      </c>
    </row>
    <row r="19" spans="1:4" ht="15">
      <c r="A19" s="8" t="s">
        <v>39</v>
      </c>
      <c r="B19" s="13">
        <v>8</v>
      </c>
      <c r="C19" s="13">
        <v>8</v>
      </c>
      <c r="D19" s="13">
        <v>8</v>
      </c>
    </row>
    <row r="20" spans="1:4" ht="45">
      <c r="A20" s="16" t="s">
        <v>41</v>
      </c>
      <c r="B20" s="96">
        <v>2.65</v>
      </c>
      <c r="C20" s="96">
        <v>2.65</v>
      </c>
      <c r="D20" s="96">
        <v>2.65</v>
      </c>
    </row>
    <row r="21" spans="1:4" ht="61.5" customHeight="1">
      <c r="A21" s="33" t="s">
        <v>43</v>
      </c>
      <c r="B21" s="17">
        <f>10*LOG10(B13/B14)-8</f>
        <v>7.0514997831990609</v>
      </c>
      <c r="C21" s="17">
        <f t="shared" ref="C21:D21" si="0">10*LOG10(C13/C14)-8</f>
        <v>7.0514997831990609</v>
      </c>
      <c r="D21" s="17">
        <f t="shared" si="0"/>
        <v>7.0514997831990609</v>
      </c>
    </row>
    <row r="22" spans="1:4" ht="15">
      <c r="A22" s="8" t="s">
        <v>45</v>
      </c>
      <c r="B22" s="13">
        <v>0</v>
      </c>
      <c r="C22" s="13">
        <v>0</v>
      </c>
      <c r="D22" s="13">
        <v>0</v>
      </c>
    </row>
    <row r="23" spans="1:4" ht="15">
      <c r="A23" s="8" t="s">
        <v>47</v>
      </c>
      <c r="B23" s="13">
        <v>0</v>
      </c>
      <c r="C23" s="13">
        <v>0</v>
      </c>
      <c r="D23" s="13">
        <v>0</v>
      </c>
    </row>
    <row r="24" spans="1:4" ht="30">
      <c r="A24" s="8" t="s">
        <v>48</v>
      </c>
      <c r="B24" s="13">
        <v>3</v>
      </c>
      <c r="C24" s="13">
        <v>3</v>
      </c>
      <c r="D24" s="13">
        <v>3</v>
      </c>
    </row>
    <row r="25" spans="1:4" ht="15">
      <c r="A25" s="8" t="s">
        <v>49</v>
      </c>
      <c r="B25" s="10" t="s">
        <v>16</v>
      </c>
      <c r="C25" s="10" t="s">
        <v>16</v>
      </c>
      <c r="D25" s="10" t="s">
        <v>16</v>
      </c>
    </row>
    <row r="26" spans="1:4" ht="15">
      <c r="A26" s="8" t="s">
        <v>51</v>
      </c>
      <c r="B26" s="13">
        <f>B17+B18+B21-B23-B24</f>
        <v>55.746037294708373</v>
      </c>
      <c r="C26" s="13">
        <f>C17+C18+C21-C23-C24</f>
        <v>55.746037294708373</v>
      </c>
      <c r="D26" s="13">
        <f>D17+D18+D21-D23-D24</f>
        <v>55.746037294708373</v>
      </c>
    </row>
    <row r="27" spans="1:4">
      <c r="A27" s="5" t="s">
        <v>52</v>
      </c>
      <c r="B27" s="14"/>
      <c r="C27" s="14"/>
      <c r="D27" s="14"/>
    </row>
    <row r="28" spans="1:4" ht="15">
      <c r="A28" s="8" t="s">
        <v>53</v>
      </c>
      <c r="B28" s="13">
        <v>4</v>
      </c>
      <c r="C28" s="13">
        <v>2</v>
      </c>
      <c r="D28" s="13">
        <v>1</v>
      </c>
    </row>
    <row r="29" spans="1:4" ht="15">
      <c r="A29" s="8" t="s">
        <v>54</v>
      </c>
      <c r="B29" s="13">
        <v>4</v>
      </c>
      <c r="C29" s="13">
        <v>2</v>
      </c>
      <c r="D29" s="13">
        <v>1</v>
      </c>
    </row>
    <row r="30" spans="1:4" ht="45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</row>
    <row r="31" spans="1:4" ht="15">
      <c r="A31" s="8" t="s">
        <v>57</v>
      </c>
      <c r="B31" s="13">
        <v>0</v>
      </c>
      <c r="C31" s="13">
        <v>-3</v>
      </c>
      <c r="D31" s="13">
        <v>-3</v>
      </c>
    </row>
    <row r="32" spans="1:4" ht="45">
      <c r="A32" s="15" t="s">
        <v>58</v>
      </c>
      <c r="B32" s="13">
        <v>0</v>
      </c>
      <c r="C32" s="13">
        <v>0</v>
      </c>
      <c r="D32" s="13">
        <v>0</v>
      </c>
    </row>
    <row r="33" spans="1:4" ht="28.5">
      <c r="A33" s="21" t="s">
        <v>105</v>
      </c>
      <c r="B33" s="13">
        <v>0</v>
      </c>
      <c r="C33" s="13">
        <v>0</v>
      </c>
      <c r="D33" s="13">
        <v>0</v>
      </c>
    </row>
    <row r="34" spans="1:4" ht="30">
      <c r="A34" s="8" t="s">
        <v>60</v>
      </c>
      <c r="B34" s="13">
        <v>1</v>
      </c>
      <c r="C34" s="13">
        <v>1</v>
      </c>
      <c r="D34" s="13">
        <v>1</v>
      </c>
    </row>
    <row r="35" spans="1:4" ht="15">
      <c r="A35" s="8" t="s">
        <v>61</v>
      </c>
      <c r="B35" s="9">
        <v>7</v>
      </c>
      <c r="C35" s="9">
        <v>7</v>
      </c>
      <c r="D35" s="9">
        <v>7</v>
      </c>
    </row>
    <row r="36" spans="1:4" ht="15">
      <c r="A36" s="8" t="s">
        <v>62</v>
      </c>
      <c r="B36" s="9">
        <v>-174</v>
      </c>
      <c r="C36" s="9">
        <v>-174</v>
      </c>
      <c r="D36" s="9">
        <v>-174</v>
      </c>
    </row>
    <row r="37" spans="1:4" ht="15">
      <c r="A37" s="15" t="s">
        <v>63</v>
      </c>
      <c r="B37" s="13" t="s">
        <v>16</v>
      </c>
      <c r="C37" s="13" t="s">
        <v>16</v>
      </c>
      <c r="D37" s="13" t="s">
        <v>16</v>
      </c>
    </row>
    <row r="38" spans="1:4" ht="15">
      <c r="A38" s="16" t="s">
        <v>65</v>
      </c>
      <c r="B38" s="96">
        <v>-169.3</v>
      </c>
      <c r="C38" s="96">
        <v>-169.3</v>
      </c>
      <c r="D38" s="96">
        <v>-169.3</v>
      </c>
    </row>
    <row r="39" spans="1:4" ht="30">
      <c r="A39" s="8" t="s">
        <v>106</v>
      </c>
      <c r="B39" s="10" t="s">
        <v>16</v>
      </c>
      <c r="C39" s="10" t="s">
        <v>16</v>
      </c>
      <c r="D39" s="10" t="s">
        <v>16</v>
      </c>
    </row>
    <row r="40" spans="1:4" ht="30">
      <c r="A40" s="8" t="s">
        <v>107</v>
      </c>
      <c r="B40" s="13">
        <f>10*LOG10(10^((B35+B36)/10)+10^(B38/10))</f>
        <v>-164.98918835931039</v>
      </c>
      <c r="C40" s="13">
        <f>10*LOG10(10^((C35+C36)/10)+10^(C38/10))</f>
        <v>-164.98918835931039</v>
      </c>
      <c r="D40" s="13">
        <f>10*LOG10(10^((D35+D36)/10)+10^(D38/10))</f>
        <v>-164.98918835931039</v>
      </c>
    </row>
    <row r="41" spans="1:4" ht="15">
      <c r="A41" s="21" t="s">
        <v>68</v>
      </c>
      <c r="B41" s="13" t="s">
        <v>16</v>
      </c>
      <c r="C41" s="13" t="s">
        <v>16</v>
      </c>
      <c r="D41" s="13" t="s">
        <v>16</v>
      </c>
    </row>
    <row r="42" spans="1:4" ht="15">
      <c r="A42" s="35" t="s">
        <v>70</v>
      </c>
      <c r="B42" s="17">
        <f>20*360*1000</f>
        <v>7200000</v>
      </c>
      <c r="C42" s="17">
        <f t="shared" ref="C42:D42" si="1">20*360*1000</f>
        <v>7200000</v>
      </c>
      <c r="D42" s="17">
        <f t="shared" si="1"/>
        <v>7200000</v>
      </c>
    </row>
    <row r="43" spans="1:4" ht="15">
      <c r="A43" s="8" t="s">
        <v>71</v>
      </c>
      <c r="B43" s="13" t="s">
        <v>16</v>
      </c>
      <c r="C43" s="13" t="s">
        <v>16</v>
      </c>
      <c r="D43" s="13" t="s">
        <v>16</v>
      </c>
    </row>
    <row r="44" spans="1:4" ht="15">
      <c r="A44" s="8" t="s">
        <v>72</v>
      </c>
      <c r="B44" s="13">
        <f>B40+10*LOG10(B42)</f>
        <v>-96.415863394997714</v>
      </c>
      <c r="C44" s="13">
        <f>C40+10*LOG10(C42)</f>
        <v>-96.415863394997714</v>
      </c>
      <c r="D44" s="13">
        <f>D40+10*LOG10(D42)</f>
        <v>-96.415863394997714</v>
      </c>
    </row>
    <row r="45" spans="1:4" ht="15">
      <c r="A45" s="21" t="s">
        <v>73</v>
      </c>
      <c r="B45" s="13" t="s">
        <v>16</v>
      </c>
      <c r="C45" s="13" t="s">
        <v>16</v>
      </c>
      <c r="D45" s="13" t="s">
        <v>16</v>
      </c>
    </row>
    <row r="46" spans="1:4" ht="15">
      <c r="A46" s="35" t="s">
        <v>75</v>
      </c>
      <c r="B46" s="17">
        <v>-11.62</v>
      </c>
      <c r="C46" s="17">
        <v>-9.16</v>
      </c>
      <c r="D46" s="17">
        <v>-6.47</v>
      </c>
    </row>
    <row r="47" spans="1:4" ht="15">
      <c r="A47" s="8" t="s">
        <v>76</v>
      </c>
      <c r="B47" s="13">
        <v>2</v>
      </c>
      <c r="C47" s="13">
        <v>2</v>
      </c>
      <c r="D47" s="13">
        <v>2</v>
      </c>
    </row>
    <row r="48" spans="1:4" ht="30">
      <c r="A48" s="8" t="s">
        <v>77</v>
      </c>
      <c r="B48" s="13" t="s">
        <v>16</v>
      </c>
      <c r="C48" s="13" t="s">
        <v>16</v>
      </c>
      <c r="D48" s="13" t="s">
        <v>16</v>
      </c>
    </row>
    <row r="49" spans="1:4" ht="33.75" customHeight="1">
      <c r="A49" s="8" t="s">
        <v>79</v>
      </c>
      <c r="B49" s="9">
        <v>0</v>
      </c>
      <c r="C49" s="9">
        <v>0</v>
      </c>
      <c r="D49" s="9">
        <v>0</v>
      </c>
    </row>
    <row r="50" spans="1:4" ht="30">
      <c r="A50" s="8" t="s">
        <v>80</v>
      </c>
      <c r="B50" s="10" t="s">
        <v>16</v>
      </c>
      <c r="C50" s="10" t="s">
        <v>16</v>
      </c>
      <c r="D50" s="10" t="s">
        <v>16</v>
      </c>
    </row>
    <row r="51" spans="1:4" ht="30">
      <c r="A51" s="8" t="s">
        <v>82</v>
      </c>
      <c r="B51" s="13">
        <f>B44+B46+B47-B49</f>
        <v>-106.03586339499772</v>
      </c>
      <c r="C51" s="13">
        <f>C44+C46+C47-C49</f>
        <v>-103.57586339499771</v>
      </c>
      <c r="D51" s="13">
        <f>D44+D46+D47-D49</f>
        <v>-100.88586339499771</v>
      </c>
    </row>
    <row r="52" spans="1:4" ht="30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30">
      <c r="A53" s="22" t="s">
        <v>85</v>
      </c>
      <c r="B53" s="23">
        <f>B26+B30+B33-B34-B51</f>
        <v>160.78190068970611</v>
      </c>
      <c r="C53" s="23">
        <f t="shared" ref="C53:D53" si="2">C26+C30+C33-C34-C51</f>
        <v>155.32190068970607</v>
      </c>
      <c r="D53" s="23">
        <f t="shared" si="2"/>
        <v>152.63190068970607</v>
      </c>
    </row>
    <row r="54" spans="1:4">
      <c r="A54" s="5" t="s">
        <v>86</v>
      </c>
      <c r="B54" s="14"/>
      <c r="C54" s="14"/>
      <c r="D54" s="14"/>
    </row>
    <row r="55" spans="1:4" ht="16.5" customHeight="1">
      <c r="A55" s="16" t="s">
        <v>87</v>
      </c>
      <c r="B55" s="96">
        <v>7</v>
      </c>
      <c r="C55" s="96">
        <v>7</v>
      </c>
      <c r="D55" s="96">
        <v>7</v>
      </c>
    </row>
    <row r="56" spans="1:4" ht="30">
      <c r="A56" s="15" t="s">
        <v>89</v>
      </c>
      <c r="B56" s="26" t="s">
        <v>16</v>
      </c>
      <c r="C56" s="26" t="s">
        <v>16</v>
      </c>
      <c r="D56" s="26" t="s">
        <v>16</v>
      </c>
    </row>
    <row r="57" spans="1:4" ht="30">
      <c r="A57" s="16" t="s">
        <v>90</v>
      </c>
      <c r="B57" s="96">
        <v>7.56</v>
      </c>
      <c r="C57" s="96">
        <v>7.56</v>
      </c>
      <c r="D57" s="96">
        <v>7.56</v>
      </c>
    </row>
    <row r="58" spans="1:4" ht="15">
      <c r="A58" s="16" t="s">
        <v>91</v>
      </c>
      <c r="B58" s="96">
        <v>0</v>
      </c>
      <c r="C58" s="96">
        <v>0</v>
      </c>
      <c r="D58" s="96">
        <v>0</v>
      </c>
    </row>
    <row r="59" spans="1:4" ht="15">
      <c r="A59" s="16" t="s">
        <v>92</v>
      </c>
      <c r="B59" s="96">
        <v>26.25</v>
      </c>
      <c r="C59" s="96">
        <v>26.25</v>
      </c>
      <c r="D59" s="96">
        <v>26.25</v>
      </c>
    </row>
    <row r="60" spans="1:4" ht="15">
      <c r="A60" s="16" t="s">
        <v>93</v>
      </c>
      <c r="B60" s="96">
        <v>0</v>
      </c>
      <c r="C60" s="96">
        <v>0</v>
      </c>
      <c r="D60" s="96">
        <v>0</v>
      </c>
    </row>
    <row r="61" spans="1:4" ht="30">
      <c r="A61" s="24" t="s">
        <v>108</v>
      </c>
      <c r="B61" s="25" t="s">
        <v>16</v>
      </c>
      <c r="C61" s="25" t="s">
        <v>16</v>
      </c>
      <c r="D61" s="25" t="s">
        <v>16</v>
      </c>
    </row>
    <row r="62" spans="1:4" ht="30">
      <c r="A62" s="22" t="s">
        <v>109</v>
      </c>
      <c r="B62" s="23">
        <f>B53-B57+B58-B59+B60</f>
        <v>126.9719006897061</v>
      </c>
      <c r="C62" s="23">
        <f t="shared" ref="C62:D62" si="3">C53-C57+C58-C59+C60</f>
        <v>121.51190068970607</v>
      </c>
      <c r="D62" s="23">
        <f t="shared" si="3"/>
        <v>118.82190068970607</v>
      </c>
    </row>
    <row r="63" spans="1:4">
      <c r="C63" s="2"/>
      <c r="D63" s="2"/>
    </row>
    <row r="64" spans="1:4" ht="15">
      <c r="A64" s="24" t="s">
        <v>97</v>
      </c>
      <c r="B64" s="25" t="s">
        <v>16</v>
      </c>
      <c r="C64" s="25" t="s">
        <v>16</v>
      </c>
      <c r="D64" s="25" t="s">
        <v>16</v>
      </c>
    </row>
    <row r="65" spans="1:4" ht="15">
      <c r="A65" s="22" t="s">
        <v>98</v>
      </c>
      <c r="B65" s="23">
        <f>B17-B23-B51+B21+B33</f>
        <v>154.66068814250946</v>
      </c>
      <c r="C65" s="23">
        <f>C17-C23-C51+C21+C33</f>
        <v>152.20068814250948</v>
      </c>
      <c r="D65" s="23">
        <f>D17-D23-D51+D21+D33</f>
        <v>149.51068814250948</v>
      </c>
    </row>
  </sheetData>
  <mergeCells count="1">
    <mergeCell ref="B1:D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pane xSplit="1" ySplit="1" topLeftCell="B2" activePane="bottomRight" state="frozen"/>
      <selection pane="topRight"/>
      <selection pane="bottomLeft"/>
      <selection pane="bottomRight" activeCell="F4" sqref="F4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16384" width="9" style="3"/>
  </cols>
  <sheetData>
    <row r="1" spans="1:5" ht="14.25" customHeight="1">
      <c r="A1" s="4"/>
      <c r="B1" s="200" t="s">
        <v>114</v>
      </c>
      <c r="C1" s="200"/>
      <c r="D1" s="200" t="s">
        <v>123</v>
      </c>
      <c r="E1" s="200"/>
    </row>
    <row r="2" spans="1:5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</row>
    <row r="3" spans="1:5" ht="15">
      <c r="A3" s="8" t="s">
        <v>11</v>
      </c>
      <c r="B3" s="9">
        <v>4</v>
      </c>
      <c r="C3" s="9">
        <v>4</v>
      </c>
      <c r="D3" s="178">
        <v>4</v>
      </c>
      <c r="E3" s="178">
        <v>4</v>
      </c>
    </row>
    <row r="4" spans="1:5" ht="15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</row>
    <row r="5" spans="1:5" ht="15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</row>
    <row r="6" spans="1:5" ht="15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</row>
    <row r="7" spans="1:5" ht="30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</row>
    <row r="8" spans="1:5" ht="15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</row>
    <row r="9" spans="1:5" ht="15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</row>
    <row r="10" spans="1:5" ht="15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</row>
    <row r="11" spans="1:5">
      <c r="A11" s="5" t="s">
        <v>24</v>
      </c>
      <c r="B11" s="14"/>
      <c r="C11" s="14"/>
      <c r="D11" s="177"/>
      <c r="E11" s="177"/>
    </row>
    <row r="12" spans="1:5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</row>
    <row r="13" spans="1:5" ht="15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</row>
    <row r="14" spans="1:5" ht="15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</row>
    <row r="15" spans="1:5" ht="15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</row>
    <row r="16" spans="1:5" ht="15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</row>
    <row r="17" spans="1:5" ht="30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</row>
    <row r="18" spans="1:5" ht="45">
      <c r="A18" s="15" t="s">
        <v>37</v>
      </c>
      <c r="B18" s="13">
        <f>B19+10*LOG10(B12/B14)-B20</f>
        <v>0</v>
      </c>
      <c r="C18" s="13">
        <f>C19+10*LOG10(C12/C14)-C20</f>
        <v>-3</v>
      </c>
      <c r="D18" s="178">
        <f>D19+10*LOG10(D12/D14)-D20</f>
        <v>0</v>
      </c>
      <c r="E18" s="178">
        <f>E19+10*LOG10(E12/E14)-E20</f>
        <v>-3</v>
      </c>
    </row>
    <row r="19" spans="1:5" ht="15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</row>
    <row r="20" spans="1:5" ht="45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</row>
    <row r="21" spans="1:5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</row>
    <row r="22" spans="1:5" ht="15">
      <c r="A22" s="8" t="s">
        <v>45</v>
      </c>
      <c r="B22" s="9">
        <v>0</v>
      </c>
      <c r="C22" s="9">
        <v>0</v>
      </c>
      <c r="D22" s="178">
        <v>0</v>
      </c>
      <c r="E22" s="178">
        <v>0</v>
      </c>
    </row>
    <row r="23" spans="1:5" ht="15">
      <c r="A23" s="8" t="s">
        <v>47</v>
      </c>
      <c r="B23" s="9">
        <v>0</v>
      </c>
      <c r="C23" s="9">
        <v>0</v>
      </c>
      <c r="D23" s="178">
        <v>0</v>
      </c>
      <c r="E23" s="178">
        <v>0</v>
      </c>
    </row>
    <row r="24" spans="1:5" ht="30">
      <c r="A24" s="8" t="s">
        <v>48</v>
      </c>
      <c r="B24" s="9">
        <v>1</v>
      </c>
      <c r="C24" s="9">
        <v>1</v>
      </c>
      <c r="D24" s="178">
        <v>1</v>
      </c>
      <c r="E24" s="178">
        <v>1</v>
      </c>
    </row>
    <row r="25" spans="1:5" ht="15">
      <c r="A25" s="8" t="s">
        <v>49</v>
      </c>
      <c r="B25" s="9">
        <f>B17+B18+B21+B22-B24</f>
        <v>22</v>
      </c>
      <c r="C25" s="9">
        <f>C17+C18+C21+C22-C24</f>
        <v>19</v>
      </c>
      <c r="D25" s="178">
        <f>D17+D18+D21+D22-D24</f>
        <v>22</v>
      </c>
      <c r="E25" s="178">
        <f>E17+E18+E21+E22-E24</f>
        <v>19</v>
      </c>
    </row>
    <row r="26" spans="1:5" ht="15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</row>
    <row r="27" spans="1:5">
      <c r="A27" s="5" t="s">
        <v>52</v>
      </c>
      <c r="B27" s="14"/>
      <c r="C27" s="14"/>
      <c r="D27" s="177"/>
      <c r="E27" s="177"/>
    </row>
    <row r="28" spans="1:5" ht="15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</row>
    <row r="29" spans="1:5" ht="15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</row>
    <row r="30" spans="1:5" ht="45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  <c r="D30" s="178">
        <f>D31+10*LOG10(D28/D13)-D32</f>
        <v>12.771212547196624</v>
      </c>
      <c r="E30" s="178">
        <f>E31+10*LOG10(E28/E13)-E32</f>
        <v>12.771212547196624</v>
      </c>
    </row>
    <row r="31" spans="1:5" ht="15">
      <c r="A31" s="8" t="s">
        <v>57</v>
      </c>
      <c r="B31" s="9">
        <v>8</v>
      </c>
      <c r="C31" s="9">
        <v>8</v>
      </c>
      <c r="D31" s="178">
        <v>8</v>
      </c>
      <c r="E31" s="178">
        <v>8</v>
      </c>
    </row>
    <row r="32" spans="1:5" ht="45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</row>
    <row r="33" spans="1:5" ht="28.5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</row>
    <row r="34" spans="1:5" ht="30">
      <c r="A34" s="8" t="s">
        <v>60</v>
      </c>
      <c r="B34" s="9">
        <v>3</v>
      </c>
      <c r="C34" s="9">
        <v>3</v>
      </c>
      <c r="D34" s="178">
        <v>3</v>
      </c>
      <c r="E34" s="178">
        <v>3</v>
      </c>
    </row>
    <row r="35" spans="1:5" ht="15">
      <c r="A35" s="8" t="s">
        <v>61</v>
      </c>
      <c r="B35" s="9">
        <v>5</v>
      </c>
      <c r="C35" s="9">
        <v>5</v>
      </c>
      <c r="D35" s="178">
        <v>5</v>
      </c>
      <c r="E35" s="178">
        <v>5</v>
      </c>
    </row>
    <row r="36" spans="1:5" ht="15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</row>
    <row r="37" spans="1:5" ht="15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</row>
    <row r="38" spans="1:5" ht="15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</row>
    <row r="39" spans="1:5" ht="30">
      <c r="A39" s="8" t="s">
        <v>66</v>
      </c>
      <c r="B39" s="13">
        <f>10*LOG10(10^((B35+B36)/10)+10^(B37/10))</f>
        <v>-160.9583889004532</v>
      </c>
      <c r="C39" s="13">
        <f>10*LOG10(10^((C35+C36)/10)+10^(C37/10))</f>
        <v>-160.9583889004532</v>
      </c>
      <c r="D39" s="178">
        <f>10*LOG10(10^((D35+D36)/10)+10^(D37/10))</f>
        <v>-164.03352307536667</v>
      </c>
      <c r="E39" s="178">
        <f>10*LOG10(10^((E35+E36)/10)+10^(E37/10))</f>
        <v>-164.03352307536667</v>
      </c>
    </row>
    <row r="40" spans="1:5" ht="30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</row>
    <row r="41" spans="1:5" ht="15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</row>
    <row r="42" spans="1:5" ht="15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</row>
    <row r="43" spans="1:5" ht="15">
      <c r="A43" s="8" t="s">
        <v>71</v>
      </c>
      <c r="B43" s="13">
        <f>B39+10*LOG10(B41)</f>
        <v>-94.603551432304087</v>
      </c>
      <c r="C43" s="13">
        <f>C39+10*LOG10(C41)</f>
        <v>-94.603551432304087</v>
      </c>
      <c r="D43" s="178">
        <f>D39+10*LOG10(D41)</f>
        <v>-97.67868560721756</v>
      </c>
      <c r="E43" s="178">
        <f>E39+10*LOG10(E41)</f>
        <v>-97.67868560721756</v>
      </c>
    </row>
    <row r="44" spans="1:5" ht="15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</row>
    <row r="45" spans="1:5" ht="15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</row>
    <row r="46" spans="1:5" ht="15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</row>
    <row r="47" spans="1:5" ht="15">
      <c r="A47" s="8" t="s">
        <v>76</v>
      </c>
      <c r="B47" s="9">
        <v>2</v>
      </c>
      <c r="C47" s="9">
        <v>2</v>
      </c>
      <c r="D47" s="178">
        <v>2</v>
      </c>
      <c r="E47" s="178">
        <v>2</v>
      </c>
    </row>
    <row r="48" spans="1:5" ht="30">
      <c r="A48" s="8" t="s">
        <v>77</v>
      </c>
      <c r="B48" s="9">
        <v>0</v>
      </c>
      <c r="C48" s="9">
        <v>0</v>
      </c>
      <c r="D48" s="178">
        <v>0</v>
      </c>
      <c r="E48" s="178">
        <v>0</v>
      </c>
    </row>
    <row r="49" spans="1:5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</row>
    <row r="50" spans="1:5" ht="30">
      <c r="A50" s="8" t="s">
        <v>80</v>
      </c>
      <c r="B50" s="13">
        <f>B43+B45+B47-B48</f>
        <v>-102.79355143230408</v>
      </c>
      <c r="C50" s="13">
        <f>C43+C45+C47-C48</f>
        <v>-102.79355143230408</v>
      </c>
      <c r="D50" s="178">
        <f>D43+D45+D47-D48</f>
        <v>-108.23868560721756</v>
      </c>
      <c r="E50" s="178">
        <f>E43+E45+E47-E48</f>
        <v>-108.23868560721756</v>
      </c>
    </row>
    <row r="51" spans="1:5" ht="30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</row>
    <row r="52" spans="1:5" ht="30">
      <c r="A52" s="22" t="s">
        <v>83</v>
      </c>
      <c r="B52" s="23">
        <f>B25+B30+B33-B34-B50</f>
        <v>149.61626376269976</v>
      </c>
      <c r="C52" s="23">
        <f>C25+C30+C33-C34-C50</f>
        <v>146.61626376269976</v>
      </c>
      <c r="D52" s="179">
        <f>D25+D30+D33-D34-D50</f>
        <v>155.05989815441419</v>
      </c>
      <c r="E52" s="179">
        <f>E25+E30+E33-E34-E50</f>
        <v>152.05989815441419</v>
      </c>
    </row>
    <row r="53" spans="1:5" ht="30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</row>
    <row r="54" spans="1:5">
      <c r="A54" s="5" t="s">
        <v>86</v>
      </c>
      <c r="B54" s="14"/>
      <c r="C54" s="14"/>
      <c r="D54" s="177"/>
      <c r="E54" s="177"/>
    </row>
    <row r="55" spans="1:5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</row>
    <row r="56" spans="1:5" ht="30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</row>
    <row r="57" spans="1:5" ht="30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</row>
    <row r="58" spans="1:5" ht="15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</row>
    <row r="59" spans="1:5" ht="15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</row>
    <row r="60" spans="1:5" ht="15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</row>
    <row r="61" spans="1:5" ht="30">
      <c r="A61" s="22" t="s">
        <v>108</v>
      </c>
      <c r="B61" s="23">
        <f>B52-B56+B58-B59+B60</f>
        <v>115.80626376269976</v>
      </c>
      <c r="C61" s="23">
        <f>C52-C56+C58-C59+C60</f>
        <v>112.80626376269976</v>
      </c>
      <c r="D61" s="179">
        <f>D52-D56+D58-D59+D60</f>
        <v>124.3298981544142</v>
      </c>
      <c r="E61" s="179">
        <f>E52-E56+E58-E59+E60</f>
        <v>121.3298981544142</v>
      </c>
    </row>
    <row r="62" spans="1:5" ht="30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</row>
    <row r="63" spans="1:5">
      <c r="C63" s="2"/>
      <c r="E63" s="2"/>
    </row>
    <row r="64" spans="1:5" ht="15">
      <c r="A64" s="22" t="s">
        <v>97</v>
      </c>
      <c r="B64" s="23">
        <f>B17+B22-B50+B21+B33</f>
        <v>140.84505121550313</v>
      </c>
      <c r="C64" s="23">
        <f>C17+C22-C50+C21+C33</f>
        <v>140.84505121550313</v>
      </c>
      <c r="D64" s="179">
        <f>D17+D22-D50+D21+D33</f>
        <v>146.28868560721759</v>
      </c>
      <c r="E64" s="179">
        <f>E17+E22-E50+E21+E33</f>
        <v>146.28868560721759</v>
      </c>
    </row>
    <row r="65" spans="1:5" ht="15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</row>
  </sheetData>
  <mergeCells count="2">
    <mergeCell ref="B1:C1"/>
    <mergeCell ref="D1:E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8.5" style="1" customWidth="1"/>
    <col min="7" max="7" width="20.25" style="3" customWidth="1"/>
    <col min="8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6" t="s">
        <v>4</v>
      </c>
      <c r="C5" s="196"/>
      <c r="D5" s="196"/>
      <c r="E5" s="196"/>
      <c r="F5" s="196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 ht="15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 ht="15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 ht="15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30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30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30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30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 ht="15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7" t="s">
        <v>88</v>
      </c>
    </row>
    <row r="61" spans="1:7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198"/>
    </row>
    <row r="62" spans="1:7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198"/>
    </row>
    <row r="63" spans="1:7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198"/>
    </row>
    <row r="64" spans="1:7" ht="15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198"/>
    </row>
    <row r="65" spans="1:7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199"/>
    </row>
    <row r="66" spans="1:7" ht="30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30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 ht="15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 ht="15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 ht="15">
      <c r="A75" s="50"/>
      <c r="B75" s="2"/>
      <c r="C75" s="2"/>
      <c r="D75" s="2"/>
      <c r="E75" s="46"/>
      <c r="F75" s="1"/>
    </row>
    <row r="77" spans="1:7" ht="15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pane xSplit="1" ySplit="1" topLeftCell="N2" activePane="bottomRight" state="frozen"/>
      <selection pane="topRight"/>
      <selection pane="bottomLeft"/>
      <selection pane="bottomRight" activeCell="S1" sqref="S1:U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8.125" style="3" customWidth="1"/>
    <col min="14" max="14" width="21.25" style="3" customWidth="1"/>
    <col min="15" max="15" width="19.1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16384" width="9" style="3"/>
  </cols>
  <sheetData>
    <row r="1" spans="1:21" ht="14.25" customHeight="1">
      <c r="A1" s="4"/>
      <c r="B1" s="200" t="s">
        <v>100</v>
      </c>
      <c r="C1" s="200"/>
      <c r="D1" s="200"/>
      <c r="E1" s="200" t="s">
        <v>101</v>
      </c>
      <c r="F1" s="200"/>
      <c r="G1" s="201" t="s">
        <v>113</v>
      </c>
      <c r="H1" s="201"/>
      <c r="I1" s="201"/>
      <c r="J1" s="200" t="s">
        <v>114</v>
      </c>
      <c r="K1" s="200"/>
      <c r="L1" s="200"/>
      <c r="M1" s="200" t="s">
        <v>122</v>
      </c>
      <c r="N1" s="200"/>
      <c r="O1" s="200"/>
      <c r="P1" s="200" t="s">
        <v>123</v>
      </c>
      <c r="Q1" s="200"/>
      <c r="R1" s="200"/>
      <c r="S1" s="200" t="s">
        <v>124</v>
      </c>
      <c r="T1" s="200"/>
      <c r="U1" s="200"/>
    </row>
    <row r="2" spans="1:21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</row>
    <row r="3" spans="1:2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01">
        <v>2.6</v>
      </c>
      <c r="N3" s="101">
        <v>2.6</v>
      </c>
      <c r="O3" s="101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</row>
    <row r="4" spans="1:21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</row>
    <row r="5" spans="1:21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</row>
    <row r="6" spans="1:21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</row>
    <row r="7" spans="1:21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</row>
    <row r="8" spans="1:21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</row>
    <row r="9" spans="1:21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</row>
    <row r="10" spans="1:21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</row>
    <row r="11" spans="1:21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</row>
    <row r="12" spans="1:21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</row>
    <row r="13" spans="1:21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</row>
    <row r="14" spans="1:21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</row>
    <row r="15" spans="1:21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</row>
    <row r="16" spans="1:21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  <c r="S16" s="166">
        <f>S15+10*LOG10(S4)</f>
        <v>44</v>
      </c>
      <c r="T16" s="166">
        <f>T15+10*LOG10(T4)</f>
        <v>44</v>
      </c>
      <c r="U16" s="166">
        <f>U15+10*LOG10(U4)</f>
        <v>44</v>
      </c>
    </row>
    <row r="17" spans="1:21" ht="30">
      <c r="A17" s="8" t="s">
        <v>35</v>
      </c>
      <c r="B17" s="29">
        <f t="shared" ref="B17:L17" si="1">B15+10*LOG10(B41/1000000)</f>
        <v>45.375437381428746</v>
      </c>
      <c r="C17" s="29">
        <f t="shared" si="1"/>
        <v>45.375437381428746</v>
      </c>
      <c r="D17" s="29">
        <f t="shared" si="1"/>
        <v>45.375437381428746</v>
      </c>
      <c r="E17" s="29">
        <f t="shared" si="1"/>
        <v>36.375437381428746</v>
      </c>
      <c r="F17" s="29">
        <f t="shared" si="1"/>
        <v>36.375437381428746</v>
      </c>
      <c r="G17" s="73">
        <f t="shared" si="1"/>
        <v>36.375437381428746</v>
      </c>
      <c r="H17" s="73">
        <f t="shared" si="1"/>
        <v>36.375437381428746</v>
      </c>
      <c r="I17" s="73">
        <f t="shared" si="1"/>
        <v>36.375437381428746</v>
      </c>
      <c r="J17" s="13">
        <f t="shared" si="1"/>
        <v>45.375437381428746</v>
      </c>
      <c r="K17" s="13">
        <f t="shared" si="1"/>
        <v>45.375437381428746</v>
      </c>
      <c r="L17" s="13">
        <f t="shared" si="1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>P15+10*LOG10(P41/1000000)</f>
        <v>45.375437381428746</v>
      </c>
      <c r="Q17" s="164">
        <f>Q15+10*LOG10(Q41/1000000)</f>
        <v>45.375437381428746</v>
      </c>
      <c r="R17" s="164">
        <f>R15+10*LOG10(R41/1000000)</f>
        <v>45.375437381428746</v>
      </c>
      <c r="S17" s="166">
        <f>S15+10*LOG10(S41/1000000)</f>
        <v>36.375437381428746</v>
      </c>
      <c r="T17" s="166">
        <f>T15+10*LOG10(T41/1000000)</f>
        <v>36.375437381428746</v>
      </c>
      <c r="U17" s="166">
        <f>U15+10*LOG10(U41/1000000)</f>
        <v>36.375437381428746</v>
      </c>
    </row>
    <row r="18" spans="1:21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  <c r="S18" s="166">
        <f>S19+10*LOG10(S12/S13)-S20</f>
        <v>12.771212547196624</v>
      </c>
      <c r="T18" s="166">
        <f>T19+10*LOG10(T12/T13)-T20</f>
        <v>12.771212547196624</v>
      </c>
      <c r="U18" s="166">
        <f>U19+10*LOG10(U12/U13)-U20</f>
        <v>12.771212547196624</v>
      </c>
    </row>
    <row r="19" spans="1:21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</row>
    <row r="20" spans="1:21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</row>
    <row r="21" spans="1:21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3">10*LOG10(K13/K14)</f>
        <v>15.051499783199061</v>
      </c>
      <c r="L21" s="17">
        <f t="shared" si="3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</row>
    <row r="22" spans="1:21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</row>
    <row r="23" spans="1:21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</row>
    <row r="24" spans="1:21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</row>
    <row r="25" spans="1:21" ht="15">
      <c r="A25" s="8" t="s">
        <v>49</v>
      </c>
      <c r="B25" s="29">
        <f t="shared" ref="B25:L25" si="4">B17+B18+B21+B22-B24</f>
        <v>67.146649928625379</v>
      </c>
      <c r="C25" s="29">
        <f t="shared" si="4"/>
        <v>67.146649928625379</v>
      </c>
      <c r="D25" s="29">
        <f t="shared" si="4"/>
        <v>67.146649928625379</v>
      </c>
      <c r="E25" s="29">
        <f t="shared" si="4"/>
        <v>55.236649928625368</v>
      </c>
      <c r="F25" s="29">
        <f t="shared" si="4"/>
        <v>55.236649928625368</v>
      </c>
      <c r="G25" s="73">
        <f t="shared" si="4"/>
        <v>58.146649928625372</v>
      </c>
      <c r="H25" s="73">
        <f t="shared" si="4"/>
        <v>58.146649928625372</v>
      </c>
      <c r="I25" s="73">
        <f t="shared" si="4"/>
        <v>58.146649928625372</v>
      </c>
      <c r="J25" s="13">
        <f t="shared" si="4"/>
        <v>67.548149711824436</v>
      </c>
      <c r="K25" s="13">
        <f t="shared" si="4"/>
        <v>67.548149711824436</v>
      </c>
      <c r="L25" s="13">
        <f t="shared" si="4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>P17+P18+P21+P22-P24</f>
        <v>70.196649928625376</v>
      </c>
      <c r="Q25" s="164">
        <f>Q17+Q18+Q21+Q22-Q24</f>
        <v>70.196649928625376</v>
      </c>
      <c r="R25" s="164">
        <f>R17+R18+R21+R22-R24</f>
        <v>70.196649928625376</v>
      </c>
      <c r="S25" s="166">
        <f>S17+S18+S21+S22-S24</f>
        <v>58.146649928625372</v>
      </c>
      <c r="T25" s="166">
        <f>T17+T18+T21+T22-T24</f>
        <v>58.146649928625372</v>
      </c>
      <c r="U25" s="166">
        <f>U17+U18+U21+U22-U24</f>
        <v>58.146649928625372</v>
      </c>
    </row>
    <row r="26" spans="1:21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</row>
    <row r="27" spans="1:21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</row>
    <row r="28" spans="1:21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</row>
    <row r="29" spans="1:21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</row>
    <row r="30" spans="1:21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03">
        <v>0</v>
      </c>
      <c r="N30" s="103">
        <v>-3</v>
      </c>
      <c r="O30" s="103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  <c r="S30" s="166">
        <f>S31+10*LOG10(S28/S29)-S32</f>
        <v>0</v>
      </c>
      <c r="T30" s="166">
        <f>T31+10*LOG10(T28/T29)-T32</f>
        <v>-3</v>
      </c>
      <c r="U30" s="166">
        <f>U31+10*LOG10(U28/U29)-U32</f>
        <v>-3</v>
      </c>
    </row>
    <row r="31" spans="1:21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</row>
    <row r="32" spans="1:21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</row>
    <row r="33" spans="1:21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</row>
    <row r="34" spans="1:21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</row>
    <row r="35" spans="1:21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</row>
    <row r="36" spans="1:21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</row>
    <row r="37" spans="1:21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</row>
    <row r="38" spans="1:21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</row>
    <row r="39" spans="1:21" ht="30">
      <c r="A39" s="8" t="s">
        <v>106</v>
      </c>
      <c r="B39" s="29">
        <f t="shared" ref="B39:L39" si="6">10*LOG10(10^((B35+B36)/10)+10^(B37/10))</f>
        <v>-167.00000000000003</v>
      </c>
      <c r="C39" s="29">
        <f t="shared" si="6"/>
        <v>-167.00000000000003</v>
      </c>
      <c r="D39" s="29">
        <f t="shared" si="6"/>
        <v>-167.00000000000003</v>
      </c>
      <c r="E39" s="29">
        <f t="shared" si="6"/>
        <v>-167.00000000000003</v>
      </c>
      <c r="F39" s="29">
        <f t="shared" si="6"/>
        <v>-167.00000000000003</v>
      </c>
      <c r="G39" s="73">
        <f t="shared" si="6"/>
        <v>-167.00000000000003</v>
      </c>
      <c r="H39" s="73">
        <f t="shared" si="6"/>
        <v>-167.00000000000003</v>
      </c>
      <c r="I39" s="73">
        <f t="shared" si="6"/>
        <v>-167.00000000000003</v>
      </c>
      <c r="J39" s="13">
        <f t="shared" si="6"/>
        <v>-164.98918835931039</v>
      </c>
      <c r="K39" s="13">
        <f t="shared" si="6"/>
        <v>-164.98918835931039</v>
      </c>
      <c r="L39" s="13">
        <f t="shared" si="6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>10*LOG10(10^((P35+P36)/10)+10^(P37/10))</f>
        <v>-164.98918835931039</v>
      </c>
      <c r="Q39" s="164">
        <f>10*LOG10(10^((Q35+Q36)/10)+10^(Q37/10))</f>
        <v>-164.98918835931039</v>
      </c>
      <c r="R39" s="164">
        <f>10*LOG10(10^((R35+R36)/10)+10^(R37/10))</f>
        <v>-164.98918835931039</v>
      </c>
      <c r="S39" s="166">
        <f>10*LOG10(10^((S35+S36)/10)+10^(S37/10))</f>
        <v>-167.00000000000003</v>
      </c>
      <c r="T39" s="166">
        <f>10*LOG10(10^((T35+T36)/10)+10^(T37/10))</f>
        <v>-167.00000000000003</v>
      </c>
      <c r="U39" s="166">
        <f>10*LOG10(10^((U35+U36)/10)+10^(U37/10))</f>
        <v>-167.00000000000003</v>
      </c>
    </row>
    <row r="40" spans="1:21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</row>
    <row r="41" spans="1:21" ht="15">
      <c r="A41" s="21" t="s">
        <v>68</v>
      </c>
      <c r="B41" s="29">
        <f t="shared" ref="B41:L41" si="7">48*360*1000</f>
        <v>17280000</v>
      </c>
      <c r="C41" s="29">
        <f t="shared" si="7"/>
        <v>17280000</v>
      </c>
      <c r="D41" s="29">
        <f t="shared" si="7"/>
        <v>17280000</v>
      </c>
      <c r="E41" s="29">
        <f t="shared" si="7"/>
        <v>17280000</v>
      </c>
      <c r="F41" s="29">
        <f t="shared" si="7"/>
        <v>17280000</v>
      </c>
      <c r="G41" s="73">
        <f t="shared" si="7"/>
        <v>17280000</v>
      </c>
      <c r="H41" s="73">
        <f t="shared" si="7"/>
        <v>17280000</v>
      </c>
      <c r="I41" s="73">
        <f t="shared" si="7"/>
        <v>17280000</v>
      </c>
      <c r="J41" s="13">
        <f t="shared" si="7"/>
        <v>17280000</v>
      </c>
      <c r="K41" s="13">
        <f t="shared" si="7"/>
        <v>17280000</v>
      </c>
      <c r="L41" s="13">
        <f t="shared" si="7"/>
        <v>17280000</v>
      </c>
      <c r="M41" s="103">
        <v>17280000</v>
      </c>
      <c r="N41" s="103">
        <v>17280000</v>
      </c>
      <c r="O41" s="103">
        <v>17280000</v>
      </c>
      <c r="P41" s="164">
        <f>48*360*1000</f>
        <v>17280000</v>
      </c>
      <c r="Q41" s="164">
        <f>48*360*1000</f>
        <v>17280000</v>
      </c>
      <c r="R41" s="164">
        <f>48*360*1000</f>
        <v>17280000</v>
      </c>
      <c r="S41" s="166">
        <f>48*360*1000</f>
        <v>17280000</v>
      </c>
      <c r="T41" s="166">
        <f>48*360*1000</f>
        <v>17280000</v>
      </c>
      <c r="U41" s="166">
        <f>48*360*1000</f>
        <v>17280000</v>
      </c>
    </row>
    <row r="42" spans="1:21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</row>
    <row r="43" spans="1:21" ht="15">
      <c r="A43" s="8" t="s">
        <v>71</v>
      </c>
      <c r="B43" s="29">
        <f t="shared" ref="B43:L43" si="8">B39+10*LOG10(B41)</f>
        <v>-94.624562618571289</v>
      </c>
      <c r="C43" s="29">
        <f t="shared" si="8"/>
        <v>-94.624562618571289</v>
      </c>
      <c r="D43" s="29">
        <f t="shared" si="8"/>
        <v>-94.624562618571289</v>
      </c>
      <c r="E43" s="29">
        <f t="shared" si="8"/>
        <v>-94.624562618571289</v>
      </c>
      <c r="F43" s="29">
        <f t="shared" si="8"/>
        <v>-94.624562618571289</v>
      </c>
      <c r="G43" s="73">
        <f t="shared" si="8"/>
        <v>-94.624562618571289</v>
      </c>
      <c r="H43" s="73">
        <f t="shared" si="8"/>
        <v>-94.624562618571289</v>
      </c>
      <c r="I43" s="73">
        <f t="shared" si="8"/>
        <v>-94.624562618571289</v>
      </c>
      <c r="J43" s="13">
        <f t="shared" si="8"/>
        <v>-92.613750977881651</v>
      </c>
      <c r="K43" s="13">
        <f t="shared" si="8"/>
        <v>-92.613750977881651</v>
      </c>
      <c r="L43" s="13">
        <f t="shared" si="8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>P39+10*LOG10(P41)</f>
        <v>-92.613750977881651</v>
      </c>
      <c r="Q43" s="164">
        <f>Q39+10*LOG10(Q41)</f>
        <v>-92.613750977881651</v>
      </c>
      <c r="R43" s="164">
        <f>R39+10*LOG10(R41)</f>
        <v>-92.613750977881651</v>
      </c>
      <c r="S43" s="166">
        <f>S39+10*LOG10(S41)</f>
        <v>-94.624562618571289</v>
      </c>
      <c r="T43" s="166">
        <f>T39+10*LOG10(T41)</f>
        <v>-94.624562618571289</v>
      </c>
      <c r="U43" s="166">
        <f>U39+10*LOG10(U41)</f>
        <v>-94.624562618571289</v>
      </c>
    </row>
    <row r="44" spans="1:21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</row>
    <row r="45" spans="1:21" ht="1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</row>
    <row r="46" spans="1:21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</row>
    <row r="47" spans="1:21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</row>
    <row r="48" spans="1:21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</row>
    <row r="49" spans="1:21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</row>
    <row r="50" spans="1:21" ht="30">
      <c r="A50" s="8" t="s">
        <v>80</v>
      </c>
      <c r="B50" s="29">
        <f t="shared" ref="B50:L50" si="9">B43+B45+B47-B48</f>
        <v>-103.92456261857129</v>
      </c>
      <c r="C50" s="29">
        <f t="shared" si="9"/>
        <v>-100.92456261857129</v>
      </c>
      <c r="D50" s="29">
        <f t="shared" si="9"/>
        <v>-97.424562618571287</v>
      </c>
      <c r="E50" s="29">
        <f t="shared" si="9"/>
        <v>-103.98456261857129</v>
      </c>
      <c r="F50" s="29">
        <f t="shared" si="9"/>
        <v>-97.754562618571285</v>
      </c>
      <c r="G50" s="73">
        <f t="shared" si="9"/>
        <v>-105.30456261857128</v>
      </c>
      <c r="H50" s="73">
        <f t="shared" si="9"/>
        <v>-102.00456261857128</v>
      </c>
      <c r="I50" s="73">
        <f t="shared" si="9"/>
        <v>-98.034562618571286</v>
      </c>
      <c r="J50" s="13">
        <f t="shared" si="9"/>
        <v>-99.113750977881651</v>
      </c>
      <c r="K50" s="13">
        <f t="shared" si="9"/>
        <v>-96.47375097788165</v>
      </c>
      <c r="L50" s="13">
        <f t="shared" si="9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>P43+P45+P47-P48</f>
        <v>-99.213750977881645</v>
      </c>
      <c r="Q50" s="164">
        <f>Q43+Q45+Q47-Q48</f>
        <v>-96.313750977881654</v>
      </c>
      <c r="R50" s="164">
        <f>R43+R45+R47-R48</f>
        <v>-92.313750977881654</v>
      </c>
      <c r="S50" s="166">
        <f>S43+S45+S47-S48</f>
        <v>-103.63456261857129</v>
      </c>
      <c r="T50" s="166">
        <f>T43+T45+T47-T48</f>
        <v>-100.70456261857129</v>
      </c>
      <c r="U50" s="166">
        <f>U43+U45+U47-U48</f>
        <v>-97.424562618571287</v>
      </c>
    </row>
    <row r="51" spans="1:21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</row>
    <row r="52" spans="1:21" ht="30">
      <c r="A52" s="22" t="s">
        <v>83</v>
      </c>
      <c r="B52" s="37">
        <f t="shared" ref="B52:G52" si="10">B25+B30+B33-B34-B50</f>
        <v>170.07121254719667</v>
      </c>
      <c r="C52" s="37">
        <f t="shared" si="10"/>
        <v>164.07121254719667</v>
      </c>
      <c r="D52" s="37">
        <f t="shared" si="10"/>
        <v>160.57121254719667</v>
      </c>
      <c r="E52" s="37">
        <f t="shared" si="10"/>
        <v>158.22121254719667</v>
      </c>
      <c r="F52" s="37">
        <f t="shared" si="10"/>
        <v>148.99121254719665</v>
      </c>
      <c r="G52" s="78">
        <f t="shared" si="10"/>
        <v>162.45121254719666</v>
      </c>
      <c r="H52" s="78">
        <f t="shared" ref="H52:L52" si="11">H25+H30+H33-H34-H50</f>
        <v>156.15121254719665</v>
      </c>
      <c r="I52" s="78">
        <f t="shared" si="11"/>
        <v>152.18121254719665</v>
      </c>
      <c r="J52" s="23">
        <f t="shared" si="11"/>
        <v>165.6619006897061</v>
      </c>
      <c r="K52" s="23">
        <f t="shared" si="11"/>
        <v>160.02190068970609</v>
      </c>
      <c r="L52" s="23">
        <f t="shared" si="11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12">Q25+Q30+Q33-Q34-Q50</f>
        <v>162.51040090650702</v>
      </c>
      <c r="R52" s="171">
        <f t="shared" si="12"/>
        <v>158.51040090650702</v>
      </c>
      <c r="S52" s="171">
        <f>S25+S30+S33-S34-S50</f>
        <v>160.78121254719667</v>
      </c>
      <c r="T52" s="171">
        <f t="shared" ref="T52:U52" si="13">T25+T30+T33-T34-T50</f>
        <v>154.85121254719667</v>
      </c>
      <c r="U52" s="171">
        <f t="shared" si="13"/>
        <v>151.57121254719667</v>
      </c>
    </row>
    <row r="53" spans="1:21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</row>
    <row r="54" spans="1:21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</row>
    <row r="55" spans="1:21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</row>
    <row r="56" spans="1:21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</row>
    <row r="57" spans="1:21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</row>
    <row r="58" spans="1:21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</row>
    <row r="59" spans="1:21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</row>
    <row r="60" spans="1:21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</row>
    <row r="61" spans="1:21" ht="30">
      <c r="A61" s="22" t="s">
        <v>108</v>
      </c>
      <c r="B61" s="37">
        <f t="shared" ref="B61:G61" si="14">B52-B56+B58-B59+B60</f>
        <v>136.26121254719666</v>
      </c>
      <c r="C61" s="37">
        <f t="shared" si="14"/>
        <v>130.26121254719666</v>
      </c>
      <c r="D61" s="37">
        <f t="shared" si="14"/>
        <v>126.76121254719666</v>
      </c>
      <c r="E61" s="37">
        <f t="shared" si="14"/>
        <v>124.41121254719667</v>
      </c>
      <c r="F61" s="37">
        <f t="shared" si="14"/>
        <v>115.18121254719665</v>
      </c>
      <c r="G61" s="78">
        <f t="shared" si="14"/>
        <v>128.64121254719666</v>
      </c>
      <c r="H61" s="78">
        <f t="shared" ref="H61:L61" si="15">H52-H56+H58-H59+H60</f>
        <v>122.34121254719665</v>
      </c>
      <c r="I61" s="78">
        <f t="shared" si="15"/>
        <v>118.37121254719665</v>
      </c>
      <c r="J61" s="23">
        <f t="shared" si="15"/>
        <v>131.8519006897061</v>
      </c>
      <c r="K61" s="23">
        <f t="shared" si="15"/>
        <v>126.21190068970608</v>
      </c>
      <c r="L61" s="23">
        <f t="shared" si="15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16">Q52-Q56+Q58-Q59+Q60</f>
        <v>128.680400906507</v>
      </c>
      <c r="R61" s="171">
        <f t="shared" si="16"/>
        <v>124.680400906507</v>
      </c>
      <c r="S61" s="171">
        <f>S52-S56+S58-S59+S60</f>
        <v>126.97121254719667</v>
      </c>
      <c r="T61" s="171">
        <f t="shared" ref="T61:U61" si="17">T52-T56+T58-T59+T60</f>
        <v>121.04121254719666</v>
      </c>
      <c r="U61" s="171">
        <f t="shared" si="17"/>
        <v>117.76121254719666</v>
      </c>
    </row>
    <row r="62" spans="1:21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</row>
    <row r="63" spans="1:21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</row>
    <row r="64" spans="1:21" ht="15">
      <c r="A64" s="22" t="s">
        <v>97</v>
      </c>
      <c r="B64" s="37">
        <f t="shared" ref="B64:L64" si="18">B17+B22-B50+B21+B33</f>
        <v>161.30000000000004</v>
      </c>
      <c r="C64" s="37">
        <f t="shared" si="18"/>
        <v>158.30000000000004</v>
      </c>
      <c r="D64" s="37">
        <f t="shared" si="18"/>
        <v>154.80000000000004</v>
      </c>
      <c r="E64" s="37">
        <f t="shared" si="18"/>
        <v>152.40000000000003</v>
      </c>
      <c r="F64" s="37">
        <f t="shared" si="18"/>
        <v>146.17000000000002</v>
      </c>
      <c r="G64" s="78">
        <f t="shared" si="18"/>
        <v>153.68000000000004</v>
      </c>
      <c r="H64" s="78">
        <f t="shared" si="18"/>
        <v>150.38000000000002</v>
      </c>
      <c r="I64" s="78">
        <f t="shared" si="18"/>
        <v>146.41000000000003</v>
      </c>
      <c r="J64" s="23">
        <f t="shared" si="18"/>
        <v>159.54068814250945</v>
      </c>
      <c r="K64" s="23">
        <f t="shared" si="18"/>
        <v>156.90068814250947</v>
      </c>
      <c r="L64" s="23">
        <f t="shared" si="18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>P17+P22-P50+P21+P33</f>
        <v>159.6391883593104</v>
      </c>
      <c r="Q64" s="171">
        <f>Q17+Q22-Q50+Q21+Q33</f>
        <v>156.73918835931042</v>
      </c>
      <c r="R64" s="171">
        <f>R17+R22-R50+R21+R33</f>
        <v>152.73918835931042</v>
      </c>
      <c r="S64" s="171">
        <f>S17+S22-S50+S21+S33</f>
        <v>152.01000000000005</v>
      </c>
      <c r="T64" s="171">
        <f>T17+T22-T50+T21+T33</f>
        <v>149.08000000000004</v>
      </c>
      <c r="U64" s="171">
        <f>U17+U22-U50+U21+U33</f>
        <v>145.80000000000004</v>
      </c>
    </row>
    <row r="65" spans="1:21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pane xSplit="1" ySplit="1" topLeftCell="N2" activePane="bottomRight" state="frozen"/>
      <selection pane="topRight"/>
      <selection pane="bottomLeft"/>
      <selection pane="bottomRight" activeCell="S1" sqref="S1:U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4.75" style="3" customWidth="1"/>
    <col min="14" max="14" width="15.75" style="3" customWidth="1"/>
    <col min="15" max="15" width="16.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16384" width="9" style="3"/>
  </cols>
  <sheetData>
    <row r="1" spans="1:21" ht="14.25" customHeight="1">
      <c r="A1" s="4"/>
      <c r="B1" s="200" t="s">
        <v>100</v>
      </c>
      <c r="C1" s="200"/>
      <c r="D1" s="200"/>
      <c r="E1" s="200" t="s">
        <v>101</v>
      </c>
      <c r="F1" s="200"/>
      <c r="G1" s="201" t="s">
        <v>113</v>
      </c>
      <c r="H1" s="201"/>
      <c r="I1" s="201"/>
      <c r="J1" s="200" t="s">
        <v>116</v>
      </c>
      <c r="K1" s="200"/>
      <c r="L1" s="200"/>
      <c r="M1" s="200" t="s">
        <v>122</v>
      </c>
      <c r="N1" s="200"/>
      <c r="O1" s="200"/>
      <c r="P1" s="200" t="s">
        <v>123</v>
      </c>
      <c r="Q1" s="200"/>
      <c r="R1" s="200"/>
      <c r="S1" s="200" t="s">
        <v>124</v>
      </c>
      <c r="T1" s="200"/>
      <c r="U1" s="200"/>
    </row>
    <row r="2" spans="1:21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</row>
    <row r="3" spans="1:2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14">
        <v>2.6</v>
      </c>
      <c r="N3" s="114">
        <v>2.6</v>
      </c>
      <c r="O3" s="11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</row>
    <row r="4" spans="1:21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</row>
    <row r="5" spans="1:21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</row>
    <row r="6" spans="1:21" ht="15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</row>
    <row r="7" spans="1:21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</row>
    <row r="8" spans="1:21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</row>
    <row r="9" spans="1:21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</row>
    <row r="10" spans="1:21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</row>
    <row r="11" spans="1:21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</row>
    <row r="12" spans="1:21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</row>
    <row r="13" spans="1:21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</row>
    <row r="14" spans="1:21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</row>
    <row r="15" spans="1:21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</row>
    <row r="16" spans="1:21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  <c r="S16" s="166">
        <f>S15+10*LOG10(S4)</f>
        <v>44</v>
      </c>
      <c r="T16" s="166">
        <f>T15+10*LOG10(T4)</f>
        <v>44</v>
      </c>
      <c r="U16" s="166">
        <f>U15+10*LOG10(U4)</f>
        <v>44</v>
      </c>
    </row>
    <row r="17" spans="1:21" ht="30">
      <c r="A17" s="8" t="s">
        <v>35</v>
      </c>
      <c r="B17" s="29">
        <f t="shared" ref="B17:L17" si="1">B15+10*LOG10(B42/1000000)</f>
        <v>47.80581786829169</v>
      </c>
      <c r="C17" s="29">
        <f t="shared" si="1"/>
        <v>41.57332496431269</v>
      </c>
      <c r="D17" s="29">
        <f t="shared" si="1"/>
        <v>41.57332496431269</v>
      </c>
      <c r="E17" s="29">
        <f t="shared" si="1"/>
        <v>43.47237607870666</v>
      </c>
      <c r="F17" s="29">
        <f t="shared" si="1"/>
        <v>35.997551772534749</v>
      </c>
      <c r="G17" s="73">
        <f t="shared" si="1"/>
        <v>42.57332496431269</v>
      </c>
      <c r="H17" s="73">
        <f t="shared" si="1"/>
        <v>36.638726768652234</v>
      </c>
      <c r="I17" s="73">
        <f t="shared" si="1"/>
        <v>36.638726768652234</v>
      </c>
      <c r="J17" s="13">
        <f t="shared" si="1"/>
        <v>48.816083660320572</v>
      </c>
      <c r="K17" s="13">
        <f t="shared" si="1"/>
        <v>42.365137424788934</v>
      </c>
      <c r="L17" s="13">
        <f t="shared" si="1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>P15+10*LOG10(P42/1000000)</f>
        <v>52.924651478080435</v>
      </c>
      <c r="Q17" s="164">
        <f>Q15+10*LOG10(Q42/1000000)</f>
        <v>45.638726768652234</v>
      </c>
      <c r="R17" s="164">
        <f>R15+10*LOG10(R42/1000000)</f>
        <v>45.638726768652234</v>
      </c>
      <c r="S17" s="166">
        <f>S15+10*LOG10(S42/1000000)</f>
        <v>43.542425094393252</v>
      </c>
      <c r="T17" s="166">
        <f>T15+10*LOG10(T42/1000000)</f>
        <v>36.552725051033065</v>
      </c>
      <c r="U17" s="166">
        <f>U15+10*LOG10(U42/1000000)</f>
        <v>36.552725051033065</v>
      </c>
    </row>
    <row r="18" spans="1:21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  <c r="S18" s="166">
        <f>S19+10*LOG10(S12/S13)-S20</f>
        <v>12.771212547196624</v>
      </c>
      <c r="T18" s="166">
        <f>T19+10*LOG10(T12/T13)-T20</f>
        <v>12.771212547196624</v>
      </c>
      <c r="U18" s="166">
        <f>U19+10*LOG10(U12/U13)-U20</f>
        <v>12.771212547196624</v>
      </c>
    </row>
    <row r="19" spans="1:21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</row>
    <row r="20" spans="1:21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</row>
    <row r="21" spans="1:21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3">10*LOG10(K13/K14)</f>
        <v>15.051499783199061</v>
      </c>
      <c r="L21" s="17">
        <f t="shared" si="3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</row>
    <row r="22" spans="1:21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</row>
    <row r="23" spans="1:21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</row>
    <row r="24" spans="1:21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</row>
    <row r="25" spans="1:21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</row>
    <row r="26" spans="1:21" ht="15">
      <c r="A26" s="8" t="s">
        <v>51</v>
      </c>
      <c r="B26" s="29">
        <f t="shared" ref="B26:L26" si="4">B17+B18+B21-B23-B24</f>
        <v>69.577030415488309</v>
      </c>
      <c r="C26" s="29">
        <f t="shared" si="4"/>
        <v>63.344537511509316</v>
      </c>
      <c r="D26" s="29">
        <f t="shared" si="4"/>
        <v>63.344537511509316</v>
      </c>
      <c r="E26" s="29">
        <f t="shared" si="4"/>
        <v>62.333588625903275</v>
      </c>
      <c r="F26" s="29">
        <f t="shared" si="4"/>
        <v>54.858764319731371</v>
      </c>
      <c r="G26" s="73">
        <f t="shared" si="4"/>
        <v>64.344537511509316</v>
      </c>
      <c r="H26" s="73">
        <f t="shared" si="4"/>
        <v>58.40993931584886</v>
      </c>
      <c r="I26" s="73">
        <f t="shared" si="4"/>
        <v>58.40993931584886</v>
      </c>
      <c r="J26" s="13">
        <f t="shared" si="4"/>
        <v>70.988795990716255</v>
      </c>
      <c r="K26" s="13">
        <f t="shared" si="4"/>
        <v>64.537849755184624</v>
      </c>
      <c r="L26" s="13">
        <f t="shared" si="4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>P17+P18+P21-P23-P24</f>
        <v>77.745864025277058</v>
      </c>
      <c r="Q26" s="164">
        <f>Q17+Q18+Q21-Q23-Q24</f>
        <v>70.459939315848857</v>
      </c>
      <c r="R26" s="164">
        <f>R17+R18+R21-R23-R24</f>
        <v>70.459939315848857</v>
      </c>
      <c r="S26" s="166">
        <f>S17+S18+S21-S23-S24</f>
        <v>65.313637641589878</v>
      </c>
      <c r="T26" s="166">
        <f>T17+T18+T21-T23-T24</f>
        <v>58.323937598229691</v>
      </c>
      <c r="U26" s="166">
        <f>U17+U18+U21-U23-U24</f>
        <v>58.323937598229691</v>
      </c>
    </row>
    <row r="27" spans="1:21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</row>
    <row r="28" spans="1:21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</row>
    <row r="29" spans="1:21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</row>
    <row r="30" spans="1:21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16">
        <v>0</v>
      </c>
      <c r="N30" s="116">
        <v>-3</v>
      </c>
      <c r="O30" s="116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  <c r="S30" s="166">
        <f>S31+10*LOG10(S28/S29)-S32</f>
        <v>0</v>
      </c>
      <c r="T30" s="166">
        <f>T31+10*LOG10(T28/T29)-T32</f>
        <v>-3</v>
      </c>
      <c r="U30" s="166">
        <f>U31+10*LOG10(U28/U29)-U32</f>
        <v>-3</v>
      </c>
    </row>
    <row r="31" spans="1:21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</row>
    <row r="32" spans="1:21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</row>
    <row r="33" spans="1:21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</row>
    <row r="34" spans="1:21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</row>
    <row r="35" spans="1:21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</row>
    <row r="36" spans="1:21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</row>
    <row r="37" spans="1:21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</row>
    <row r="38" spans="1:21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</row>
    <row r="39" spans="1:21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</row>
    <row r="40" spans="1:21" ht="30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>10*LOG10(10^((P35+P36)/10)+10^(P38/10))</f>
        <v>-164.98918835931039</v>
      </c>
      <c r="Q40" s="164">
        <f>10*LOG10(10^((Q35+Q36)/10)+10^(Q38/10))</f>
        <v>-164.98918835931039</v>
      </c>
      <c r="R40" s="164">
        <f>10*LOG10(10^((R35+R36)/10)+10^(R38/10))</f>
        <v>-164.98918835931039</v>
      </c>
      <c r="S40" s="166">
        <f>10*LOG10(10^((S35+S36)/10)+10^(S38/10))</f>
        <v>-167.00000000000003</v>
      </c>
      <c r="T40" s="166">
        <f>10*LOG10(10^((T35+T36)/10)+10^(T38/10))</f>
        <v>-167.00000000000003</v>
      </c>
      <c r="U40" s="166">
        <f>10*LOG10(10^((U35+U36)/10)+10^(U38/10))</f>
        <v>-167.00000000000003</v>
      </c>
    </row>
    <row r="41" spans="1:21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</row>
    <row r="42" spans="1:21" ht="15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</row>
    <row r="43" spans="1:21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</row>
    <row r="44" spans="1:21" ht="15">
      <c r="A44" s="8" t="s">
        <v>72</v>
      </c>
      <c r="B44" s="29">
        <f t="shared" ref="B44:L44" si="7">B40+10*LOG10(B42)</f>
        <v>-92.194182131708345</v>
      </c>
      <c r="C44" s="29">
        <f t="shared" si="7"/>
        <v>-98.426675035687353</v>
      </c>
      <c r="D44" s="29">
        <f t="shared" si="7"/>
        <v>-98.426675035687353</v>
      </c>
      <c r="E44" s="29">
        <f t="shared" si="7"/>
        <v>-87.527623921293369</v>
      </c>
      <c r="F44" s="29">
        <f t="shared" si="7"/>
        <v>-95.00244822746528</v>
      </c>
      <c r="G44" s="73">
        <f t="shared" si="7"/>
        <v>-88.426675035687353</v>
      </c>
      <c r="H44" s="73">
        <f t="shared" si="7"/>
        <v>-94.361273231347795</v>
      </c>
      <c r="I44" s="73">
        <f t="shared" si="7"/>
        <v>-94.361273231347795</v>
      </c>
      <c r="J44" s="13">
        <f t="shared" si="7"/>
        <v>-89.173104698989818</v>
      </c>
      <c r="K44" s="13">
        <f t="shared" si="7"/>
        <v>-95.624050934521463</v>
      </c>
      <c r="L44" s="13">
        <f t="shared" si="7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>P40+10*LOG10(P42)</f>
        <v>-85.064536881229955</v>
      </c>
      <c r="Q44" s="164">
        <f>Q40+10*LOG10(Q42)</f>
        <v>-92.350461590658156</v>
      </c>
      <c r="R44" s="164">
        <f>R40+10*LOG10(R42)</f>
        <v>-92.350461590658156</v>
      </c>
      <c r="S44" s="166">
        <f>S40+10*LOG10(S42)</f>
        <v>-87.457574905606776</v>
      </c>
      <c r="T44" s="166">
        <f>T40+10*LOG10(T42)</f>
        <v>-94.447274948966964</v>
      </c>
      <c r="U44" s="166">
        <f>U40+10*LOG10(U42)</f>
        <v>-94.447274948966964</v>
      </c>
    </row>
    <row r="45" spans="1:21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</row>
    <row r="46" spans="1:21" ht="15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</row>
    <row r="47" spans="1:21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</row>
    <row r="48" spans="1:21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</row>
    <row r="49" spans="1:21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</row>
    <row r="50" spans="1:21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</row>
    <row r="51" spans="1:21" ht="30">
      <c r="A51" s="8" t="s">
        <v>82</v>
      </c>
      <c r="B51" s="29">
        <f t="shared" ref="B51:L51" si="8">B44+B46+B47-B49</f>
        <v>-93.994182131708342</v>
      </c>
      <c r="C51" s="29">
        <f t="shared" si="8"/>
        <v>-97.526675035687347</v>
      </c>
      <c r="D51" s="29">
        <f t="shared" si="8"/>
        <v>-92.826675035687359</v>
      </c>
      <c r="E51" s="29">
        <f t="shared" si="8"/>
        <v>-95.957623921293361</v>
      </c>
      <c r="F51" s="29">
        <f t="shared" si="8"/>
        <v>-100.76244822746528</v>
      </c>
      <c r="G51" s="73">
        <f t="shared" si="8"/>
        <v>-95.516675035687356</v>
      </c>
      <c r="H51" s="73">
        <f t="shared" si="8"/>
        <v>-100.10127323134779</v>
      </c>
      <c r="I51" s="73">
        <f t="shared" si="8"/>
        <v>-97.511273231347801</v>
      </c>
      <c r="J51" s="13">
        <f t="shared" si="8"/>
        <v>-91.87310469898982</v>
      </c>
      <c r="K51" s="13">
        <f t="shared" si="8"/>
        <v>-94.704050934521462</v>
      </c>
      <c r="L51" s="13">
        <f t="shared" si="8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>P44+P46+P47-P49</f>
        <v>-88.564536881229955</v>
      </c>
      <c r="Q51" s="164">
        <f>Q44+Q46+Q47-Q49</f>
        <v>-92.150461590658153</v>
      </c>
      <c r="R51" s="164">
        <f>R44+R46+R47-R49</f>
        <v>-88.350461590658156</v>
      </c>
      <c r="S51" s="166">
        <f>S44+S46+S47-S49</f>
        <v>-93.207574905606776</v>
      </c>
      <c r="T51" s="166">
        <f>T44+T46+T47-T49</f>
        <v>-96.457274948966969</v>
      </c>
      <c r="U51" s="166">
        <f>U44+U46+U47-U49</f>
        <v>-92.447274948966964</v>
      </c>
    </row>
    <row r="52" spans="1:21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</row>
    <row r="53" spans="1:21" ht="30">
      <c r="A53" s="22" t="s">
        <v>85</v>
      </c>
      <c r="B53" s="37">
        <f t="shared" ref="B53:G53" si="9">B26+B30+B33-B34-B51</f>
        <v>162.57121254719664</v>
      </c>
      <c r="C53" s="37">
        <f t="shared" si="9"/>
        <v>156.87121254719665</v>
      </c>
      <c r="D53" s="37">
        <f t="shared" si="9"/>
        <v>152.17121254719666</v>
      </c>
      <c r="E53" s="37">
        <f t="shared" si="9"/>
        <v>157.29121254719664</v>
      </c>
      <c r="F53" s="37">
        <f t="shared" si="9"/>
        <v>151.62121254719665</v>
      </c>
      <c r="G53" s="78">
        <f t="shared" si="9"/>
        <v>158.86121254719666</v>
      </c>
      <c r="H53" s="78">
        <f t="shared" ref="H53:L53" si="10">H26+H30+H33-H34-H51</f>
        <v>154.51121254719664</v>
      </c>
      <c r="I53" s="78">
        <f t="shared" si="10"/>
        <v>151.92121254719666</v>
      </c>
      <c r="J53" s="23">
        <f t="shared" si="10"/>
        <v>161.86190068970609</v>
      </c>
      <c r="K53" s="23">
        <f t="shared" si="10"/>
        <v>155.24190068970609</v>
      </c>
      <c r="L53" s="23">
        <f t="shared" si="10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11">Q26+Q30+Q33-Q34-Q51</f>
        <v>158.61040090650701</v>
      </c>
      <c r="R53" s="171">
        <f t="shared" si="11"/>
        <v>154.81040090650703</v>
      </c>
      <c r="S53" s="171">
        <f>S26+S30+S33-S34-S51</f>
        <v>157.52121254719665</v>
      </c>
      <c r="T53" s="171">
        <f t="shared" ref="T53:U53" si="12">T26+T30+T33-T34-T51</f>
        <v>150.78121254719667</v>
      </c>
      <c r="U53" s="171">
        <f t="shared" si="12"/>
        <v>146.77121254719665</v>
      </c>
    </row>
    <row r="54" spans="1:21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</row>
    <row r="55" spans="1:21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</row>
    <row r="56" spans="1:21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</row>
    <row r="57" spans="1:21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</row>
    <row r="58" spans="1:21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</row>
    <row r="59" spans="1:21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</row>
    <row r="60" spans="1:21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</row>
    <row r="61" spans="1:21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</row>
    <row r="62" spans="1:21" ht="30">
      <c r="A62" s="22" t="s">
        <v>109</v>
      </c>
      <c r="B62" s="37">
        <f t="shared" ref="B62:G62" si="13">B53-B57+B58-B59+B60</f>
        <v>131.84121254719665</v>
      </c>
      <c r="C62" s="37">
        <f t="shared" si="13"/>
        <v>126.14121254719666</v>
      </c>
      <c r="D62" s="37">
        <f t="shared" si="13"/>
        <v>121.44121254719667</v>
      </c>
      <c r="E62" s="37">
        <f t="shared" si="13"/>
        <v>126.56121254719665</v>
      </c>
      <c r="F62" s="37">
        <f t="shared" si="13"/>
        <v>120.89121254719666</v>
      </c>
      <c r="G62" s="78">
        <f t="shared" si="13"/>
        <v>128.13121254719667</v>
      </c>
      <c r="H62" s="78">
        <f t="shared" ref="H62:L62" si="14">H53-H57+H58-H59+H60</f>
        <v>123.78121254719665</v>
      </c>
      <c r="I62" s="78">
        <f t="shared" si="14"/>
        <v>121.19121254719667</v>
      </c>
      <c r="J62" s="23">
        <f t="shared" si="14"/>
        <v>131.1319006897061</v>
      </c>
      <c r="K62" s="23">
        <f t="shared" si="14"/>
        <v>124.5119006897061</v>
      </c>
      <c r="L62" s="23">
        <f t="shared" si="14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15">Q53-Q57+Q58-Q59+Q60</f>
        <v>127.88040090650702</v>
      </c>
      <c r="R62" s="171">
        <f t="shared" si="15"/>
        <v>124.08040090650704</v>
      </c>
      <c r="S62" s="171">
        <f>S53-S57+S58-S59+S60</f>
        <v>126.79121254719666</v>
      </c>
      <c r="T62" s="171">
        <f t="shared" ref="T62:U62" si="16">T53-T57+T58-T59+T60</f>
        <v>120.05121254719668</v>
      </c>
      <c r="U62" s="171">
        <f t="shared" si="16"/>
        <v>116.04121254719666</v>
      </c>
    </row>
    <row r="63" spans="1:21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</row>
    <row r="64" spans="1:21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</row>
    <row r="65" spans="1:21" ht="15">
      <c r="A65" s="22" t="s">
        <v>98</v>
      </c>
      <c r="B65" s="37">
        <f t="shared" ref="B65:L65" si="17">B17-B23-B51+B21+B33</f>
        <v>153.80000000000004</v>
      </c>
      <c r="C65" s="37">
        <f t="shared" si="17"/>
        <v>151.10000000000002</v>
      </c>
      <c r="D65" s="37">
        <f t="shared" si="17"/>
        <v>146.40000000000003</v>
      </c>
      <c r="E65" s="37">
        <f t="shared" si="17"/>
        <v>151.47</v>
      </c>
      <c r="F65" s="37">
        <f t="shared" si="17"/>
        <v>148.80000000000004</v>
      </c>
      <c r="G65" s="78">
        <f t="shared" si="17"/>
        <v>150.09000000000003</v>
      </c>
      <c r="H65" s="78">
        <f t="shared" si="17"/>
        <v>148.74</v>
      </c>
      <c r="I65" s="78">
        <f t="shared" si="17"/>
        <v>146.15000000000003</v>
      </c>
      <c r="J65" s="23">
        <f t="shared" si="17"/>
        <v>155.74068814250944</v>
      </c>
      <c r="K65" s="23">
        <f t="shared" si="17"/>
        <v>152.12068814250947</v>
      </c>
      <c r="L65" s="23">
        <f t="shared" si="17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>P17-P23-P51+P21+P33</f>
        <v>156.5391883593104</v>
      </c>
      <c r="Q65" s="171">
        <f>Q17-Q23-Q51+Q21+Q33</f>
        <v>152.83918835931041</v>
      </c>
      <c r="R65" s="171">
        <f>R17-R23-R51+R21+R33</f>
        <v>149.0391883593104</v>
      </c>
      <c r="S65" s="171">
        <f>S17-S23-S51+S21+S33</f>
        <v>148.75000000000003</v>
      </c>
      <c r="T65" s="171">
        <f>T17-T23-T51+T21+T33</f>
        <v>145.01000000000005</v>
      </c>
      <c r="U65" s="171">
        <f>U17-U23-U51+U21+U33</f>
        <v>141.00000000000003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F56" activePane="bottomRight" state="frozen"/>
      <selection pane="topRight"/>
      <selection pane="bottomLeft"/>
      <selection pane="bottomRight" activeCell="L1" sqref="L1:M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6384" width="9" style="3"/>
  </cols>
  <sheetData>
    <row r="1" spans="1:13" ht="14.25" customHeight="1">
      <c r="A1" s="4"/>
      <c r="B1" s="200" t="s">
        <v>100</v>
      </c>
      <c r="C1" s="200"/>
      <c r="D1" s="200" t="s">
        <v>101</v>
      </c>
      <c r="E1" s="200"/>
      <c r="F1" s="201" t="s">
        <v>113</v>
      </c>
      <c r="G1" s="201"/>
      <c r="H1" s="200" t="s">
        <v>116</v>
      </c>
      <c r="I1" s="200"/>
      <c r="J1" s="200" t="s">
        <v>123</v>
      </c>
      <c r="K1" s="200"/>
      <c r="L1" s="200" t="s">
        <v>124</v>
      </c>
      <c r="M1" s="200"/>
    </row>
    <row r="2" spans="1:1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</row>
    <row r="3" spans="1:13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</row>
    <row r="4" spans="1:13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</row>
    <row r="5" spans="1:13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</row>
    <row r="6" spans="1:13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</row>
    <row r="7" spans="1:13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</row>
    <row r="8" spans="1:13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</row>
    <row r="9" spans="1:13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</row>
    <row r="10" spans="1:13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</row>
    <row r="11" spans="1:1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</row>
    <row r="12" spans="1:1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</row>
    <row r="13" spans="1:13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</row>
    <row r="14" spans="1:13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</row>
    <row r="15" spans="1:13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</row>
    <row r="16" spans="1:13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</row>
    <row r="17" spans="1:13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</row>
    <row r="18" spans="1:13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>J19+10*LOG10(J12/J14)-J20</f>
        <v>0</v>
      </c>
      <c r="K18" s="178">
        <f>K19+10*LOG10(K12/K14)-K20</f>
        <v>-3</v>
      </c>
      <c r="L18" s="176">
        <f>L19+10*LOG10(L12/L14)-L20</f>
        <v>0</v>
      </c>
      <c r="M18" s="176">
        <f>M19+10*LOG10(M12/M14)-M20</f>
        <v>-3</v>
      </c>
    </row>
    <row r="19" spans="1:13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</row>
    <row r="20" spans="1:13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</row>
    <row r="21" spans="1:1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</row>
    <row r="22" spans="1:13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</row>
    <row r="23" spans="1:13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</row>
    <row r="24" spans="1:13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</row>
    <row r="25" spans="1:13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  <c r="L25" s="178">
        <f>L17+L18+L21+L22-L24</f>
        <v>22</v>
      </c>
      <c r="M25" s="178">
        <f>M17+M18+M21+M22-M24</f>
        <v>19</v>
      </c>
    </row>
    <row r="26" spans="1:13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</row>
    <row r="27" spans="1:1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</row>
    <row r="28" spans="1:13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</row>
    <row r="29" spans="1:13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</row>
    <row r="30" spans="1:13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8">
        <f>J31+10*LOG10(J28/J13)-J32</f>
        <v>12.771212547196624</v>
      </c>
      <c r="K30" s="178">
        <f>K31+10*LOG10(K28/K13)-K32</f>
        <v>12.771212547196624</v>
      </c>
      <c r="L30" s="176">
        <f>L31+10*LOG10(L28/L13)-L32</f>
        <v>12.771212547196624</v>
      </c>
      <c r="M30" s="176">
        <f>M31+10*LOG10(M28/M13)-M32</f>
        <v>12.771212547196624</v>
      </c>
    </row>
    <row r="31" spans="1:13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</row>
    <row r="32" spans="1:13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</row>
    <row r="33" spans="1:13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</row>
    <row r="34" spans="1:13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</row>
    <row r="35" spans="1:13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</row>
    <row r="36" spans="1:13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</row>
    <row r="37" spans="1:13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</row>
    <row r="38" spans="1:13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</row>
    <row r="39" spans="1:13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8">
        <f>10*LOG10(10^((J35+J36)/10)+10^(J37/10))</f>
        <v>-160.9583889004532</v>
      </c>
      <c r="K39" s="178">
        <f>10*LOG10(10^((K35+K36)/10)+10^(K37/10))</f>
        <v>-160.9583889004532</v>
      </c>
      <c r="L39" s="176">
        <f>10*LOG10(10^((L35+L36)/10)+10^(L37/10))</f>
        <v>-169.00000000000003</v>
      </c>
      <c r="M39" s="176">
        <f>10*LOG10(10^((M35+M36)/10)+10^(M37/10))</f>
        <v>-169.00000000000003</v>
      </c>
    </row>
    <row r="40" spans="1:13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</row>
    <row r="41" spans="1:13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8">
        <f>1*12*30*1000</f>
        <v>360000</v>
      </c>
      <c r="K41" s="178">
        <f>1*12*30*1000</f>
        <v>360000</v>
      </c>
      <c r="L41" s="176">
        <f>1*12*30*1000</f>
        <v>360000</v>
      </c>
      <c r="M41" s="176">
        <f>1*12*30*1000</f>
        <v>360000</v>
      </c>
    </row>
    <row r="42" spans="1:13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</row>
    <row r="43" spans="1:13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8">
        <f>J39+10*LOG10(J41)</f>
        <v>-105.39536389278032</v>
      </c>
      <c r="K43" s="178">
        <f>K39+10*LOG10(K41)</f>
        <v>-105.39536389278032</v>
      </c>
      <c r="L43" s="176">
        <f>L39+10*LOG10(L41)</f>
        <v>-113.43697499232715</v>
      </c>
      <c r="M43" s="176">
        <f>M39+10*LOG10(M41)</f>
        <v>-113.43697499232715</v>
      </c>
    </row>
    <row r="44" spans="1:13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</row>
    <row r="45" spans="1:13" ht="15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</row>
    <row r="46" spans="1:13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</row>
    <row r="47" spans="1:13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</row>
    <row r="48" spans="1:13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</row>
    <row r="49" spans="1:1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</row>
    <row r="50" spans="1:13" ht="30">
      <c r="A50" s="8" t="s">
        <v>80</v>
      </c>
      <c r="B50" s="13">
        <f t="shared" ref="B50:I50" si="6">B43+B45+B47-B48</f>
        <v>-118.83697499232716</v>
      </c>
      <c r="C50" s="13">
        <f t="shared" si="6"/>
        <v>-118.53697499232715</v>
      </c>
      <c r="D50" s="13">
        <f t="shared" si="6"/>
        <v>-121.73697499232715</v>
      </c>
      <c r="E50" s="13">
        <f t="shared" si="6"/>
        <v>-121.73697499232715</v>
      </c>
      <c r="F50" s="86">
        <f t="shared" si="6"/>
        <v>-115.26697499232715</v>
      </c>
      <c r="G50" s="86">
        <f t="shared" si="6"/>
        <v>-115.14697499232715</v>
      </c>
      <c r="H50" s="13">
        <f t="shared" si="6"/>
        <v>-109.47536389278032</v>
      </c>
      <c r="I50" s="13">
        <f t="shared" si="6"/>
        <v>-109.47536389278032</v>
      </c>
      <c r="J50" s="178">
        <f>J43+J45+J47-J48</f>
        <v>-104.89536389278032</v>
      </c>
      <c r="K50" s="178">
        <f>K43+K45+K47-K48</f>
        <v>-104.89536389278032</v>
      </c>
      <c r="L50" s="176">
        <f>L43+L45+L47-L48</f>
        <v>-121.46697499232715</v>
      </c>
      <c r="M50" s="176">
        <f>M43+M45+M47-M48</f>
        <v>-121.46697499232715</v>
      </c>
    </row>
    <row r="51" spans="1:13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</row>
    <row r="52" spans="1:13" ht="30">
      <c r="A52" s="22" t="s">
        <v>83</v>
      </c>
      <c r="B52" s="23">
        <f t="shared" ref="B52:I52" si="7">B25+B30+B33-B34-B50</f>
        <v>158.60818753952378</v>
      </c>
      <c r="C52" s="23">
        <f t="shared" si="7"/>
        <v>155.30818753952377</v>
      </c>
      <c r="D52" s="23">
        <f t="shared" si="7"/>
        <v>162.59818753952376</v>
      </c>
      <c r="E52" s="23">
        <f t="shared" si="7"/>
        <v>159.59818753952376</v>
      </c>
      <c r="F52" s="90">
        <f t="shared" si="7"/>
        <v>155.03818753952379</v>
      </c>
      <c r="G52" s="90">
        <f t="shared" si="7"/>
        <v>151.91818753952379</v>
      </c>
      <c r="H52" s="23">
        <f t="shared" si="7"/>
        <v>156.298076223176</v>
      </c>
      <c r="I52" s="23">
        <f t="shared" si="7"/>
        <v>153.298076223176</v>
      </c>
      <c r="J52" s="179">
        <f>J25+J30+J33-J34-J50</f>
        <v>151.71657643997696</v>
      </c>
      <c r="K52" s="179">
        <f>K25+K30+K33-K34-K50</f>
        <v>148.71657643997696</v>
      </c>
      <c r="L52" s="179">
        <f>L25+L30+L33-L34-L50</f>
        <v>161.23818753952378</v>
      </c>
      <c r="M52" s="179">
        <f>M25+M30+M33-M34-M50</f>
        <v>158.23818753952378</v>
      </c>
    </row>
    <row r="53" spans="1:13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</row>
    <row r="54" spans="1:1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</row>
    <row r="55" spans="1:1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</row>
    <row r="56" spans="1:13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</row>
    <row r="57" spans="1:13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</row>
    <row r="58" spans="1:13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</row>
    <row r="59" spans="1:13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</row>
    <row r="60" spans="1:13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</row>
    <row r="61" spans="1:13" ht="30">
      <c r="A61" s="22" t="s">
        <v>108</v>
      </c>
      <c r="B61" s="23">
        <f t="shared" ref="B61:I61" si="8">B52-B56+B58-B59+B60</f>
        <v>124.79818753952378</v>
      </c>
      <c r="C61" s="23">
        <f t="shared" si="8"/>
        <v>121.49818753952377</v>
      </c>
      <c r="D61" s="23">
        <f t="shared" si="8"/>
        <v>128.78818753952376</v>
      </c>
      <c r="E61" s="23">
        <f t="shared" si="8"/>
        <v>125.78818753952376</v>
      </c>
      <c r="F61" s="90">
        <f t="shared" si="8"/>
        <v>121.22818753952379</v>
      </c>
      <c r="G61" s="90">
        <f t="shared" si="8"/>
        <v>118.10818753952378</v>
      </c>
      <c r="H61" s="23">
        <f t="shared" si="8"/>
        <v>122.48807622317599</v>
      </c>
      <c r="I61" s="23">
        <f t="shared" si="8"/>
        <v>119.48807622317599</v>
      </c>
      <c r="J61" s="179">
        <f>J52-J56+J58-J59+J60</f>
        <v>117.88657643997695</v>
      </c>
      <c r="K61" s="179">
        <f>K52-K56+K58-K59+K60</f>
        <v>114.88657643997695</v>
      </c>
      <c r="L61" s="179">
        <f>L52-L56+L58-L59+L60</f>
        <v>127.42818753952378</v>
      </c>
      <c r="M61" s="179">
        <f>M52-M56+M58-M59+M60</f>
        <v>124.42818753952378</v>
      </c>
    </row>
    <row r="62" spans="1:13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</row>
    <row r="63" spans="1:13">
      <c r="C63" s="2"/>
      <c r="E63" s="2"/>
      <c r="G63" s="82"/>
      <c r="H63" s="2"/>
      <c r="I63" s="2"/>
      <c r="K63" s="2"/>
      <c r="M63" s="2"/>
    </row>
    <row r="64" spans="1:13" ht="15">
      <c r="A64" s="22" t="s">
        <v>97</v>
      </c>
      <c r="B64" s="23">
        <f t="shared" ref="B64:I64" si="9">B17+B22-B50+B21+B33</f>
        <v>149.83697499232716</v>
      </c>
      <c r="C64" s="23">
        <f t="shared" si="9"/>
        <v>149.53697499232715</v>
      </c>
      <c r="D64" s="23">
        <f t="shared" si="9"/>
        <v>156.77697499232713</v>
      </c>
      <c r="E64" s="23">
        <f t="shared" si="9"/>
        <v>156.77697499232713</v>
      </c>
      <c r="F64" s="90">
        <f t="shared" si="9"/>
        <v>146.26697499232716</v>
      </c>
      <c r="G64" s="90">
        <f t="shared" si="9"/>
        <v>146.14697499232716</v>
      </c>
      <c r="H64" s="23">
        <f t="shared" si="9"/>
        <v>147.52686367597937</v>
      </c>
      <c r="I64" s="23">
        <f t="shared" si="9"/>
        <v>147.52686367597937</v>
      </c>
      <c r="J64" s="179">
        <f>J17+J22-J50+J21+J33</f>
        <v>142.94536389278034</v>
      </c>
      <c r="K64" s="179">
        <f>K17+K22-K50+K21+K33</f>
        <v>142.94536389278034</v>
      </c>
      <c r="L64" s="179">
        <f>L17+L22-L50+L21+L33</f>
        <v>152.46697499232715</v>
      </c>
      <c r="M64" s="179">
        <f>M17+M22-M50+M21+M33</f>
        <v>152.46697499232715</v>
      </c>
    </row>
    <row r="65" spans="1:13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C2" activePane="bottomRight" state="frozen"/>
      <selection pane="topRight"/>
      <selection pane="bottomLeft"/>
      <selection pane="bottomRight" activeCell="J1" sqref="J1:K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6384" width="9" style="3"/>
  </cols>
  <sheetData>
    <row r="1" spans="1:11" ht="14.25" customHeight="1">
      <c r="A1" s="4"/>
      <c r="B1" s="200" t="s">
        <v>100</v>
      </c>
      <c r="C1" s="200"/>
      <c r="D1" s="200" t="s">
        <v>101</v>
      </c>
      <c r="E1" s="200"/>
      <c r="F1" s="201" t="s">
        <v>113</v>
      </c>
      <c r="G1" s="201"/>
      <c r="H1" s="200" t="s">
        <v>116</v>
      </c>
      <c r="I1" s="200"/>
      <c r="J1" s="200" t="s">
        <v>124</v>
      </c>
      <c r="K1" s="200"/>
    </row>
    <row r="2" spans="1:1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</row>
    <row r="3" spans="1:1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</row>
    <row r="4" spans="1:11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</row>
    <row r="5" spans="1:11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</row>
    <row r="6" spans="1:11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</row>
    <row r="7" spans="1:11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</row>
    <row r="8" spans="1:11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</row>
    <row r="9" spans="1:11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</row>
    <row r="10" spans="1:11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</row>
    <row r="11" spans="1:1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</row>
    <row r="12" spans="1:1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</row>
    <row r="13" spans="1:11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</row>
    <row r="14" spans="1:11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</row>
    <row r="15" spans="1:11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</row>
    <row r="16" spans="1:11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</row>
    <row r="17" spans="1:11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</row>
    <row r="18" spans="1:11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>J19+10*LOG10(J12/J14)-J20</f>
        <v>0</v>
      </c>
      <c r="K18" s="176">
        <f>K19+10*LOG10(K12/K14)-K20</f>
        <v>-3</v>
      </c>
    </row>
    <row r="19" spans="1:11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</row>
    <row r="20" spans="1:11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</row>
    <row r="22" spans="1:11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</row>
    <row r="23" spans="1:11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</row>
    <row r="24" spans="1:11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</row>
    <row r="25" spans="1:11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</row>
    <row r="26" spans="1:11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</row>
    <row r="27" spans="1:1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</row>
    <row r="28" spans="1:11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</row>
    <row r="29" spans="1:11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</row>
    <row r="30" spans="1:11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6">
        <f>J31+10*LOG10(J28/J13)-J32</f>
        <v>12.771212547196624</v>
      </c>
      <c r="K30" s="176">
        <f>K31+10*LOG10(K28/K13)-K32</f>
        <v>12.771212547196624</v>
      </c>
    </row>
    <row r="31" spans="1:11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</row>
    <row r="32" spans="1:11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</row>
    <row r="33" spans="1:11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</row>
    <row r="34" spans="1:11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</row>
    <row r="35" spans="1:11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</row>
    <row r="36" spans="1:11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</row>
    <row r="37" spans="1:11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</row>
    <row r="38" spans="1:11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</row>
    <row r="39" spans="1:11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6">
        <f>10*LOG10(10^((J35+J36)/10)+10^(J37/10))</f>
        <v>-169.00000000000003</v>
      </c>
      <c r="K39" s="176">
        <f>10*LOG10(10^((K35+K36)/10)+10^(K37/10))</f>
        <v>-169.00000000000003</v>
      </c>
    </row>
    <row r="40" spans="1:11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</row>
    <row r="41" spans="1:11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6">
        <f>1*12*30*1000</f>
        <v>360000</v>
      </c>
      <c r="K41" s="176">
        <f>1*12*30*1000</f>
        <v>360000</v>
      </c>
    </row>
    <row r="42" spans="1:11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</row>
    <row r="43" spans="1:11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6">
        <f>J39+10*LOG10(J41)</f>
        <v>-113.43697499232715</v>
      </c>
      <c r="K43" s="176">
        <f>K39+10*LOG10(K41)</f>
        <v>-113.43697499232715</v>
      </c>
    </row>
    <row r="44" spans="1:11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</row>
    <row r="45" spans="1:11" ht="15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</row>
    <row r="46" spans="1:11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</row>
    <row r="47" spans="1:11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</row>
    <row r="48" spans="1:11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</row>
    <row r="49" spans="1:11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</row>
    <row r="50" spans="1:11" ht="30">
      <c r="A50" s="8" t="s">
        <v>80</v>
      </c>
      <c r="B50" s="13">
        <f t="shared" ref="B50:I50" si="6">B43+B45+B47-B48</f>
        <v>-115.03697499232715</v>
      </c>
      <c r="C50" s="13">
        <f t="shared" si="6"/>
        <v>-114.73697499232715</v>
      </c>
      <c r="D50" s="13">
        <f t="shared" si="6"/>
        <v>-120.00697499232714</v>
      </c>
      <c r="E50" s="13">
        <f t="shared" si="6"/>
        <v>-120.00697499232714</v>
      </c>
      <c r="F50" s="86">
        <f t="shared" si="6"/>
        <v>-115.27697499232715</v>
      </c>
      <c r="G50" s="86">
        <f t="shared" si="6"/>
        <v>-115.19697499232716</v>
      </c>
      <c r="H50" s="13">
        <f t="shared" si="6"/>
        <v>-106.94536389278032</v>
      </c>
      <c r="I50" s="13">
        <f t="shared" si="6"/>
        <v>-106.94536389278032</v>
      </c>
      <c r="J50" s="176">
        <f>J43+J45+J47-J48</f>
        <v>-125.06697499232715</v>
      </c>
      <c r="K50" s="176">
        <f>K43+K45+K47-K48</f>
        <v>-125.06697499232715</v>
      </c>
    </row>
    <row r="51" spans="1:11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</row>
    <row r="52" spans="1:11" ht="30">
      <c r="A52" s="22" t="s">
        <v>83</v>
      </c>
      <c r="B52" s="23">
        <f t="shared" ref="B52:I52" si="7">B25+B30+B33-B34-B50</f>
        <v>154.80818753952377</v>
      </c>
      <c r="C52" s="23">
        <f t="shared" si="7"/>
        <v>151.50818753952376</v>
      </c>
      <c r="D52" s="23">
        <f t="shared" si="7"/>
        <v>160.86818753952377</v>
      </c>
      <c r="E52" s="23">
        <f t="shared" si="7"/>
        <v>157.86818753952377</v>
      </c>
      <c r="F52" s="90">
        <f t="shared" si="7"/>
        <v>155.04818753952378</v>
      </c>
      <c r="G52" s="90">
        <f t="shared" si="7"/>
        <v>151.9681875395238</v>
      </c>
      <c r="H52" s="23">
        <f t="shared" si="7"/>
        <v>153.76807622317602</v>
      </c>
      <c r="I52" s="23">
        <f t="shared" si="7"/>
        <v>150.76807622317602</v>
      </c>
      <c r="J52" s="179">
        <f>J25+J30+J33-J34-J50</f>
        <v>164.83818753952377</v>
      </c>
      <c r="K52" s="179">
        <f>K25+K30+K33-K34-K50</f>
        <v>161.83818753952377</v>
      </c>
    </row>
    <row r="53" spans="1:11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</row>
    <row r="54" spans="1:1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</row>
    <row r="55" spans="1:1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</row>
    <row r="56" spans="1:11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</row>
    <row r="57" spans="1:11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</row>
    <row r="58" spans="1:11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</row>
    <row r="59" spans="1:11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</row>
    <row r="60" spans="1:11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</row>
    <row r="61" spans="1:11" ht="30">
      <c r="A61" s="22" t="s">
        <v>108</v>
      </c>
      <c r="B61" s="23">
        <f t="shared" ref="B61:I61" si="8">B52-B56+B58-B59+B60</f>
        <v>120.99818753952377</v>
      </c>
      <c r="C61" s="23">
        <f t="shared" si="8"/>
        <v>117.69818753952376</v>
      </c>
      <c r="D61" s="23">
        <f t="shared" si="8"/>
        <v>127.05818753952377</v>
      </c>
      <c r="E61" s="23">
        <f t="shared" si="8"/>
        <v>124.05818753952377</v>
      </c>
      <c r="F61" s="90">
        <f t="shared" si="8"/>
        <v>121.23818753952378</v>
      </c>
      <c r="G61" s="90">
        <f t="shared" si="8"/>
        <v>118.15818753952379</v>
      </c>
      <c r="H61" s="23">
        <f t="shared" si="8"/>
        <v>119.95807622317602</v>
      </c>
      <c r="I61" s="23">
        <f t="shared" si="8"/>
        <v>116.95807622317602</v>
      </c>
      <c r="J61" s="179">
        <f>J52-J56+J58-J59+J60</f>
        <v>131.02818753952377</v>
      </c>
      <c r="K61" s="179">
        <f>K52-K56+K58-K59+K60</f>
        <v>128.02818753952377</v>
      </c>
    </row>
    <row r="62" spans="1:11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</row>
    <row r="63" spans="1:11">
      <c r="C63" s="2"/>
      <c r="E63" s="2"/>
      <c r="G63" s="82"/>
      <c r="H63" s="2"/>
      <c r="I63" s="2"/>
      <c r="K63" s="2"/>
    </row>
    <row r="64" spans="1:11" ht="15">
      <c r="A64" s="22" t="s">
        <v>97</v>
      </c>
      <c r="B64" s="23">
        <f t="shared" ref="B64:I64" si="9">B17+B22-B50+B21+B33</f>
        <v>146.03697499232715</v>
      </c>
      <c r="C64" s="23">
        <f t="shared" si="9"/>
        <v>145.73697499232713</v>
      </c>
      <c r="D64" s="23">
        <f t="shared" si="9"/>
        <v>155.04697499232714</v>
      </c>
      <c r="E64" s="23">
        <f t="shared" si="9"/>
        <v>155.04697499232714</v>
      </c>
      <c r="F64" s="90">
        <f t="shared" si="9"/>
        <v>146.27697499232715</v>
      </c>
      <c r="G64" s="90">
        <f t="shared" si="9"/>
        <v>146.19697499232717</v>
      </c>
      <c r="H64" s="23">
        <f t="shared" si="9"/>
        <v>144.9968636759794</v>
      </c>
      <c r="I64" s="23">
        <f t="shared" si="9"/>
        <v>144.9968636759794</v>
      </c>
      <c r="J64" s="179">
        <f>J17+J22-J50+J21+J33</f>
        <v>156.06697499232715</v>
      </c>
      <c r="K64" s="179">
        <f>K17+K22-K50+K21+K33</f>
        <v>156.06697499232715</v>
      </c>
    </row>
    <row r="65" spans="1:11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L3" sqref="L3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6384" width="9" style="3"/>
  </cols>
  <sheetData>
    <row r="1" spans="1:11" ht="14.25" customHeight="1">
      <c r="A1" s="4"/>
      <c r="B1" s="200" t="s">
        <v>100</v>
      </c>
      <c r="C1" s="200"/>
      <c r="D1" s="200" t="s">
        <v>101</v>
      </c>
      <c r="E1" s="200"/>
      <c r="F1" s="201" t="s">
        <v>113</v>
      </c>
      <c r="G1" s="201"/>
      <c r="H1" s="200" t="s">
        <v>116</v>
      </c>
      <c r="I1" s="200"/>
      <c r="J1" s="200" t="s">
        <v>123</v>
      </c>
      <c r="K1" s="200"/>
    </row>
    <row r="2" spans="1:1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</row>
    <row r="3" spans="1:1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</row>
    <row r="4" spans="1:11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</row>
    <row r="5" spans="1:11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</row>
    <row r="6" spans="1:11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</row>
    <row r="7" spans="1:11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</row>
    <row r="8" spans="1:11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</row>
    <row r="9" spans="1:11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</row>
    <row r="10" spans="1:11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</row>
    <row r="11" spans="1:1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</row>
    <row r="12" spans="1:1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</row>
    <row r="13" spans="1:11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</row>
    <row r="14" spans="1:11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</row>
    <row r="15" spans="1:11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</row>
    <row r="16" spans="1:11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</row>
    <row r="17" spans="1:11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</row>
    <row r="18" spans="1:11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>J19+10*LOG10(J12/J14)-J20</f>
        <v>0</v>
      </c>
      <c r="K18" s="178">
        <f>K19+10*LOG10(K12/K14)-K20</f>
        <v>-3</v>
      </c>
    </row>
    <row r="19" spans="1:11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</row>
    <row r="20" spans="1:11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</row>
    <row r="22" spans="1:11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</row>
    <row r="23" spans="1:11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</row>
    <row r="24" spans="1:11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</row>
    <row r="25" spans="1:11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</row>
    <row r="26" spans="1:11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</row>
    <row r="27" spans="1:1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</row>
    <row r="28" spans="1:11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</row>
    <row r="29" spans="1:11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</row>
    <row r="30" spans="1:11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8">
        <f>J31+10*LOG10(J28/J13)-J32</f>
        <v>12.771212547196624</v>
      </c>
      <c r="K30" s="178">
        <f>K31+10*LOG10(K28/K13)-K32</f>
        <v>12.771212547196624</v>
      </c>
    </row>
    <row r="31" spans="1:11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</row>
    <row r="32" spans="1:11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</row>
    <row r="33" spans="1:11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</row>
    <row r="34" spans="1:11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</row>
    <row r="35" spans="1:11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</row>
    <row r="36" spans="1:11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</row>
    <row r="37" spans="1:11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</row>
    <row r="38" spans="1:11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</row>
    <row r="39" spans="1:11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8">
        <f>10*LOG10(10^((J35+J36)/10)+10^(J37/10))</f>
        <v>-160.9583889004532</v>
      </c>
      <c r="K39" s="178">
        <f>10*LOG10(10^((K35+K36)/10)+10^(K37/10))</f>
        <v>-160.9583889004532</v>
      </c>
    </row>
    <row r="40" spans="1:11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</row>
    <row r="41" spans="1:11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8">
        <f>1*12*30*1000</f>
        <v>360000</v>
      </c>
      <c r="K41" s="178">
        <f>1*12*30*1000</f>
        <v>360000</v>
      </c>
    </row>
    <row r="42" spans="1:11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</row>
    <row r="43" spans="1:11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8">
        <f>J39+10*LOG10(J41)</f>
        <v>-105.39536389278032</v>
      </c>
      <c r="K43" s="178">
        <f>K39+10*LOG10(K41)</f>
        <v>-105.39536389278032</v>
      </c>
    </row>
    <row r="44" spans="1:11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</row>
    <row r="45" spans="1:11" ht="15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</row>
    <row r="46" spans="1:11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</row>
    <row r="47" spans="1:11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</row>
    <row r="48" spans="1:11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</row>
    <row r="49" spans="1:11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</row>
    <row r="50" spans="1:11" ht="30">
      <c r="A50" s="8" t="s">
        <v>80</v>
      </c>
      <c r="B50" s="13">
        <f t="shared" ref="B50:I50" si="6">B43+B45+B47-B48</f>
        <v>-112.13697499232715</v>
      </c>
      <c r="C50" s="13">
        <f t="shared" si="6"/>
        <v>-111.73697499232715</v>
      </c>
      <c r="D50" s="13">
        <f t="shared" si="6"/>
        <v>-117.48697499232715</v>
      </c>
      <c r="E50" s="13">
        <f t="shared" si="6"/>
        <v>-117.48697499232715</v>
      </c>
      <c r="F50" s="86">
        <f t="shared" si="6"/>
        <v>-115.44697499232716</v>
      </c>
      <c r="G50" s="86">
        <f t="shared" si="6"/>
        <v>-115.10697499232715</v>
      </c>
      <c r="H50" s="13">
        <f t="shared" si="6"/>
        <v>-104.20006389278032</v>
      </c>
      <c r="I50" s="13">
        <f t="shared" si="6"/>
        <v>-104.20006389278032</v>
      </c>
      <c r="J50" s="178">
        <f>J43+J45+J47-J48</f>
        <v>-103.39536389278032</v>
      </c>
      <c r="K50" s="178">
        <f>K43+K45+K47-K48</f>
        <v>-103.39536389278032</v>
      </c>
    </row>
    <row r="51" spans="1:11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</row>
    <row r="52" spans="1:11" ht="30">
      <c r="A52" s="22" t="s">
        <v>83</v>
      </c>
      <c r="B52" s="23">
        <f t="shared" ref="B52:I52" si="7">B25+B30+B33-B34-B50</f>
        <v>151.90818753952379</v>
      </c>
      <c r="C52" s="23">
        <f t="shared" si="7"/>
        <v>148.50818753952376</v>
      </c>
      <c r="D52" s="23">
        <f t="shared" si="7"/>
        <v>158.34818753952376</v>
      </c>
      <c r="E52" s="23">
        <f t="shared" si="7"/>
        <v>155.34818753952376</v>
      </c>
      <c r="F52" s="90">
        <f t="shared" si="7"/>
        <v>155.2181875395238</v>
      </c>
      <c r="G52" s="90">
        <f t="shared" si="7"/>
        <v>151.87818753952376</v>
      </c>
      <c r="H52" s="23">
        <f t="shared" si="7"/>
        <v>151.02277622317601</v>
      </c>
      <c r="I52" s="23">
        <f t="shared" si="7"/>
        <v>148.02277622317601</v>
      </c>
      <c r="J52" s="179">
        <f>J25+J30+J33-J34-J50</f>
        <v>150.21657643997696</v>
      </c>
      <c r="K52" s="179">
        <f>K25+K30+K33-K34-K50</f>
        <v>147.21657643997696</v>
      </c>
    </row>
    <row r="53" spans="1:11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</row>
    <row r="54" spans="1:1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</row>
    <row r="55" spans="1:1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</row>
    <row r="56" spans="1:11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</row>
    <row r="57" spans="1:11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</row>
    <row r="58" spans="1:11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</row>
    <row r="59" spans="1:11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</row>
    <row r="60" spans="1:11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</row>
    <row r="61" spans="1:11" ht="30">
      <c r="A61" s="22" t="s">
        <v>108</v>
      </c>
      <c r="B61" s="23">
        <f t="shared" ref="B61:I61" si="8">B52-B56+B58-B59+B60</f>
        <v>118.09818753952379</v>
      </c>
      <c r="C61" s="23">
        <f t="shared" si="8"/>
        <v>114.69818753952376</v>
      </c>
      <c r="D61" s="23">
        <f t="shared" si="8"/>
        <v>124.53818753952376</v>
      </c>
      <c r="E61" s="23">
        <f t="shared" si="8"/>
        <v>121.53818753952376</v>
      </c>
      <c r="F61" s="90">
        <f t="shared" si="8"/>
        <v>121.40818753952379</v>
      </c>
      <c r="G61" s="90">
        <f t="shared" si="8"/>
        <v>118.06818753952376</v>
      </c>
      <c r="H61" s="23">
        <f t="shared" si="8"/>
        <v>117.21277622317601</v>
      </c>
      <c r="I61" s="23">
        <f t="shared" si="8"/>
        <v>114.21277622317601</v>
      </c>
      <c r="J61" s="179">
        <f>J52-J56+J58-J59+J60</f>
        <v>116.38657643997695</v>
      </c>
      <c r="K61" s="179">
        <f>K52-K56+K58-K59+K60</f>
        <v>113.38657643997695</v>
      </c>
    </row>
    <row r="62" spans="1:11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</row>
    <row r="63" spans="1:11">
      <c r="C63" s="2"/>
      <c r="E63" s="2"/>
      <c r="G63" s="82"/>
      <c r="H63" s="2"/>
      <c r="I63" s="2"/>
      <c r="K63" s="2"/>
    </row>
    <row r="64" spans="1:11" ht="15">
      <c r="A64" s="22" t="s">
        <v>97</v>
      </c>
      <c r="B64" s="23">
        <f t="shared" ref="B64:I64" si="9">B17+B22-B50+B21+B33</f>
        <v>143.13697499232717</v>
      </c>
      <c r="C64" s="23">
        <f t="shared" si="9"/>
        <v>142.73697499232713</v>
      </c>
      <c r="D64" s="23">
        <f t="shared" si="9"/>
        <v>152.52697499232713</v>
      </c>
      <c r="E64" s="23">
        <f t="shared" si="9"/>
        <v>152.52697499232713</v>
      </c>
      <c r="F64" s="90">
        <f t="shared" si="9"/>
        <v>146.44697499232717</v>
      </c>
      <c r="G64" s="90">
        <f t="shared" si="9"/>
        <v>146.10697499232714</v>
      </c>
      <c r="H64" s="23">
        <f t="shared" si="9"/>
        <v>142.25156367597938</v>
      </c>
      <c r="I64" s="23">
        <f t="shared" si="9"/>
        <v>142.25156367597938</v>
      </c>
      <c r="J64" s="179">
        <f>J17+J22-J50+J21+J33</f>
        <v>141.44536389278034</v>
      </c>
      <c r="K64" s="179">
        <f>K17+K22-K50+K21+K33</f>
        <v>141.44536389278034</v>
      </c>
    </row>
    <row r="65" spans="1:11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1" ySplit="1" topLeftCell="H2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3.5" style="3" customWidth="1"/>
    <col min="11" max="11" width="16.7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384" width="9" style="3"/>
  </cols>
  <sheetData>
    <row r="1" spans="1:15" ht="14.25" customHeight="1">
      <c r="A1" s="4"/>
      <c r="B1" s="200" t="s">
        <v>100</v>
      </c>
      <c r="C1" s="200"/>
      <c r="D1" s="200" t="s">
        <v>101</v>
      </c>
      <c r="E1" s="200"/>
      <c r="F1" s="201" t="s">
        <v>113</v>
      </c>
      <c r="G1" s="201"/>
      <c r="H1" s="200" t="s">
        <v>116</v>
      </c>
      <c r="I1" s="200"/>
      <c r="J1" s="200" t="s">
        <v>122</v>
      </c>
      <c r="K1" s="200"/>
      <c r="L1" s="200" t="s">
        <v>123</v>
      </c>
      <c r="M1" s="200"/>
      <c r="N1" s="200" t="s">
        <v>124</v>
      </c>
      <c r="O1" s="200"/>
    </row>
    <row r="2" spans="1:1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</row>
    <row r="3" spans="1:15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26">
        <v>2.6</v>
      </c>
      <c r="K3" s="126">
        <v>2.6</v>
      </c>
      <c r="L3" s="178">
        <v>4</v>
      </c>
      <c r="M3" s="178">
        <v>4</v>
      </c>
      <c r="N3" s="178">
        <v>2.6</v>
      </c>
      <c r="O3" s="178">
        <v>2.6</v>
      </c>
    </row>
    <row r="4" spans="1:15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</row>
    <row r="5" spans="1:15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</row>
    <row r="6" spans="1:15" ht="15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</row>
    <row r="7" spans="1:15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</row>
    <row r="8" spans="1:15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</row>
    <row r="9" spans="1:15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</row>
    <row r="10" spans="1:15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</row>
    <row r="11" spans="1:1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</row>
    <row r="12" spans="1:1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</row>
    <row r="13" spans="1:15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</row>
    <row r="14" spans="1:15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</row>
    <row r="15" spans="1:15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</row>
    <row r="16" spans="1:15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</row>
    <row r="17" spans="1:15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</row>
    <row r="18" spans="1:15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>L19+10*LOG10(L12/L14)-L20</f>
        <v>0</v>
      </c>
      <c r="M18" s="178">
        <f>M19+10*LOG10(M12/M14)-M20</f>
        <v>-3</v>
      </c>
      <c r="N18" s="176">
        <f>N19+10*LOG10(N12/N14)-N20</f>
        <v>0</v>
      </c>
      <c r="O18" s="176">
        <f>O19+10*LOG10(O12/O14)-O20</f>
        <v>-3</v>
      </c>
    </row>
    <row r="19" spans="1:15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</row>
    <row r="20" spans="1:15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</row>
    <row r="21" spans="1:1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</row>
    <row r="22" spans="1:15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</row>
    <row r="23" spans="1:15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</row>
    <row r="24" spans="1:15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</row>
    <row r="25" spans="1:15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</row>
    <row r="26" spans="1:15" ht="15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  <c r="J26" s="126">
        <v>22</v>
      </c>
      <c r="K26" s="126">
        <v>19</v>
      </c>
      <c r="L26" s="178">
        <f>L17+L18+L21-L23-L24</f>
        <v>22</v>
      </c>
      <c r="M26" s="178">
        <f>M17+M18+M21-M23-M24</f>
        <v>19</v>
      </c>
      <c r="N26" s="178">
        <f>N17+N18+N21-N23-N24</f>
        <v>22</v>
      </c>
      <c r="O26" s="178">
        <f>O17+O18+O21-O23-O24</f>
        <v>19</v>
      </c>
    </row>
    <row r="27" spans="1:1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</row>
    <row r="28" spans="1:15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</row>
    <row r="29" spans="1:15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</row>
    <row r="30" spans="1:15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24">
        <v>12.771212547196624</v>
      </c>
      <c r="K30" s="124">
        <v>12.771212547196624</v>
      </c>
      <c r="L30" s="178">
        <f>L31+10*LOG10(L28/L13)-L32</f>
        <v>12.771212547196624</v>
      </c>
      <c r="M30" s="178">
        <f>M31+10*LOG10(M28/M13)-M32</f>
        <v>12.771212547196624</v>
      </c>
      <c r="N30" s="176">
        <f>N31+10*LOG10(N28/N13)-N32</f>
        <v>12.771212547196624</v>
      </c>
      <c r="O30" s="176">
        <f>O31+10*LOG10(O28/O13)-O32</f>
        <v>12.771212547196624</v>
      </c>
    </row>
    <row r="31" spans="1:15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</row>
    <row r="32" spans="1:15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</row>
    <row r="33" spans="1:15" ht="28.5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</row>
    <row r="34" spans="1:15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</row>
    <row r="35" spans="1:15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</row>
    <row r="36" spans="1:15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</row>
    <row r="37" spans="1:15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</row>
    <row r="38" spans="1:15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</row>
    <row r="39" spans="1:15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</row>
    <row r="40" spans="1:15" ht="30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  <c r="J40" s="124">
        <v>-169.00000000000003</v>
      </c>
      <c r="K40" s="124">
        <v>-169.00000000000003</v>
      </c>
      <c r="L40" s="178">
        <f>10*LOG10(10^((L35+L36)/10)+10^(L38/10))</f>
        <v>-164.03352307536667</v>
      </c>
      <c r="M40" s="178">
        <f>10*LOG10(10^((M35+M36)/10)+10^(M38/10))</f>
        <v>-164.03352307536667</v>
      </c>
      <c r="N40" s="176">
        <f>10*LOG10(10^((N35+N36)/10)+10^(N38/10))</f>
        <v>-169.00000000000003</v>
      </c>
      <c r="O40" s="176">
        <f>10*LOG10(10^((O35+O36)/10)+10^(O38/10))</f>
        <v>-169.00000000000003</v>
      </c>
    </row>
    <row r="41" spans="1:15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</row>
    <row r="42" spans="1:15" ht="15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>30*360*1000</f>
        <v>10800000</v>
      </c>
      <c r="M42" s="182">
        <f>30*360*1000</f>
        <v>10800000</v>
      </c>
      <c r="N42" s="182">
        <f>30*360*1000</f>
        <v>10800000</v>
      </c>
      <c r="O42" s="182">
        <f>30*360*1000</f>
        <v>10800000</v>
      </c>
    </row>
    <row r="43" spans="1:15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</row>
    <row r="44" spans="1:15" ht="15">
      <c r="A44" s="8" t="s">
        <v>72</v>
      </c>
      <c r="B44" s="13">
        <f t="shared" ref="B44:I44" si="4">B40+10*LOG10(B42)</f>
        <v>-98.965394678904971</v>
      </c>
      <c r="C44" s="13">
        <f t="shared" si="4"/>
        <v>-98.965394678904971</v>
      </c>
      <c r="D44" s="13">
        <f t="shared" si="4"/>
        <v>-97.996294548824409</v>
      </c>
      <c r="E44" s="13">
        <f t="shared" si="4"/>
        <v>-97.996294548824409</v>
      </c>
      <c r="F44" s="86">
        <f t="shared" si="4"/>
        <v>-98.66576244513054</v>
      </c>
      <c r="G44" s="86">
        <f t="shared" si="4"/>
        <v>-98.66576244513054</v>
      </c>
      <c r="H44" s="13">
        <f t="shared" si="4"/>
        <v>-93.699285520497185</v>
      </c>
      <c r="I44" s="13">
        <f t="shared" si="4"/>
        <v>-93.699285520497185</v>
      </c>
      <c r="J44" s="124">
        <v>-98.66576244513054</v>
      </c>
      <c r="K44" s="124">
        <v>-98.66576244513054</v>
      </c>
      <c r="L44" s="178">
        <f>L40+10*LOG10(L42)</f>
        <v>-93.699285520497185</v>
      </c>
      <c r="M44" s="178">
        <f>M40+10*LOG10(M42)</f>
        <v>-93.699285520497185</v>
      </c>
      <c r="N44" s="176">
        <f>N40+10*LOG10(N42)</f>
        <v>-98.66576244513054</v>
      </c>
      <c r="O44" s="176">
        <f>O40+10*LOG10(O42)</f>
        <v>-98.66576244513054</v>
      </c>
    </row>
    <row r="45" spans="1:15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</row>
    <row r="46" spans="1:15" ht="15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</row>
    <row r="47" spans="1:15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</row>
    <row r="48" spans="1:15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</row>
    <row r="49" spans="1:15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</row>
    <row r="50" spans="1:15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</row>
    <row r="51" spans="1:15" ht="30">
      <c r="A51" s="8" t="s">
        <v>82</v>
      </c>
      <c r="B51" s="13">
        <f t="shared" ref="B51:I51" si="5">B44+B46+B47-B49</f>
        <v>-98.265394678904968</v>
      </c>
      <c r="C51" s="13">
        <f t="shared" si="5"/>
        <v>-98.265394678904968</v>
      </c>
      <c r="D51" s="13">
        <f t="shared" si="5"/>
        <v>-102.15629454882441</v>
      </c>
      <c r="E51" s="13">
        <f t="shared" si="5"/>
        <v>-102.15629454882441</v>
      </c>
      <c r="F51" s="86">
        <f t="shared" si="5"/>
        <v>-103.23576244513055</v>
      </c>
      <c r="G51" s="86">
        <f t="shared" si="5"/>
        <v>-103.19576244513054</v>
      </c>
      <c r="H51" s="13">
        <f t="shared" si="5"/>
        <v>-92.449285520497185</v>
      </c>
      <c r="I51" s="13">
        <f t="shared" si="5"/>
        <v>-92.619285520497186</v>
      </c>
      <c r="J51" s="124">
        <v>-108.86576244513054</v>
      </c>
      <c r="K51" s="124">
        <v>-108.86576244513054</v>
      </c>
      <c r="L51" s="178">
        <f>L44+L46+L47-L49</f>
        <v>-93.969285520497181</v>
      </c>
      <c r="M51" s="178">
        <f>M44+M46+M47-M49</f>
        <v>-93.969285520497181</v>
      </c>
      <c r="N51" s="176">
        <f>N44+N46+N47-N49</f>
        <v>-103.00576244513054</v>
      </c>
      <c r="O51" s="176">
        <f>O44+O46+O47-O49</f>
        <v>-103.00576244513054</v>
      </c>
    </row>
    <row r="52" spans="1:15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</row>
    <row r="53" spans="1:15" ht="30">
      <c r="A53" s="45" t="s">
        <v>85</v>
      </c>
      <c r="B53" s="23">
        <f t="shared" ref="B53:I53" si="6">B26+B30+B33-B34-B51</f>
        <v>142.03660722610158</v>
      </c>
      <c r="C53" s="23">
        <f t="shared" si="6"/>
        <v>139.03660722610158</v>
      </c>
      <c r="D53" s="23">
        <f t="shared" si="6"/>
        <v>143.01750709602103</v>
      </c>
      <c r="E53" s="23">
        <f t="shared" si="6"/>
        <v>140.01750709602103</v>
      </c>
      <c r="F53" s="90">
        <f t="shared" si="6"/>
        <v>147.00697499232717</v>
      </c>
      <c r="G53" s="90">
        <f t="shared" si="6"/>
        <v>143.96697499232715</v>
      </c>
      <c r="H53" s="23">
        <f t="shared" si="6"/>
        <v>139.27199785089289</v>
      </c>
      <c r="I53" s="23">
        <f t="shared" si="6"/>
        <v>136.44199785089288</v>
      </c>
      <c r="J53" s="127">
        <v>152.63697499232717</v>
      </c>
      <c r="K53" s="127">
        <v>149.63697499232717</v>
      </c>
      <c r="L53" s="179">
        <f>L26+L30+L33-L34-L51</f>
        <v>140.79049806769382</v>
      </c>
      <c r="M53" s="179">
        <f>M26+M30+M33-M34-M51</f>
        <v>137.79049806769382</v>
      </c>
      <c r="N53" s="179">
        <f>N26+N30+N33-N34-N51</f>
        <v>146.77697499232715</v>
      </c>
      <c r="O53" s="179">
        <f>O26+O30+O33-O34-O51</f>
        <v>143.77697499232715</v>
      </c>
    </row>
    <row r="54" spans="1:1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</row>
    <row r="55" spans="1:1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</row>
    <row r="56" spans="1:15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</row>
    <row r="57" spans="1:15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</row>
    <row r="58" spans="1:15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</row>
    <row r="59" spans="1:15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</row>
    <row r="60" spans="1:15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</row>
    <row r="61" spans="1:15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</row>
    <row r="62" spans="1:15" ht="30">
      <c r="A62" s="45" t="s">
        <v>109</v>
      </c>
      <c r="B62" s="23">
        <f t="shared" ref="B62:I62" si="7">B53-B57+B58-B59+B60</f>
        <v>111.30660722610159</v>
      </c>
      <c r="C62" s="23">
        <f t="shared" si="7"/>
        <v>108.30660722610159</v>
      </c>
      <c r="D62" s="23">
        <f t="shared" si="7"/>
        <v>112.28750709602105</v>
      </c>
      <c r="E62" s="23">
        <f t="shared" si="7"/>
        <v>109.28750709602105</v>
      </c>
      <c r="F62" s="90">
        <f t="shared" si="7"/>
        <v>116.27697499232718</v>
      </c>
      <c r="G62" s="90">
        <f t="shared" si="7"/>
        <v>113.23697499232716</v>
      </c>
      <c r="H62" s="23">
        <f t="shared" si="7"/>
        <v>108.5419978508929</v>
      </c>
      <c r="I62" s="23">
        <f t="shared" si="7"/>
        <v>105.71199785089289</v>
      </c>
      <c r="J62" s="127">
        <v>121.90697499232718</v>
      </c>
      <c r="K62" s="127">
        <v>118.90697499232718</v>
      </c>
      <c r="L62" s="179">
        <f>L53-L57+L58-L59+L60</f>
        <v>110.06049806769383</v>
      </c>
      <c r="M62" s="179">
        <f>M53-M57+M58-M59+M60</f>
        <v>107.06049806769383</v>
      </c>
      <c r="N62" s="179">
        <f>N53-N57+N58-N59+N60</f>
        <v>116.04697499232716</v>
      </c>
      <c r="O62" s="179">
        <f>O53-O57+O58-O59+O60</f>
        <v>113.04697499232716</v>
      </c>
    </row>
    <row r="63" spans="1:15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</row>
    <row r="64" spans="1:15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</row>
    <row r="65" spans="1:15" ht="15">
      <c r="A65" s="45" t="s">
        <v>98</v>
      </c>
      <c r="B65" s="23">
        <f t="shared" ref="B65:I65" si="8">B17-B23-B51+B21+B33</f>
        <v>133.26539467890495</v>
      </c>
      <c r="C65" s="23">
        <f t="shared" si="8"/>
        <v>133.26539467890495</v>
      </c>
      <c r="D65" s="23">
        <f t="shared" si="8"/>
        <v>137.1962945488244</v>
      </c>
      <c r="E65" s="23">
        <f t="shared" si="8"/>
        <v>137.1962945488244</v>
      </c>
      <c r="F65" s="90">
        <f t="shared" si="8"/>
        <v>138.23576244513055</v>
      </c>
      <c r="G65" s="90">
        <f t="shared" si="8"/>
        <v>138.19576244513053</v>
      </c>
      <c r="H65" s="23">
        <f t="shared" si="8"/>
        <v>130.50078530369623</v>
      </c>
      <c r="I65" s="23">
        <f t="shared" si="8"/>
        <v>130.67078530369625</v>
      </c>
      <c r="J65" s="127">
        <v>143.86576244513054</v>
      </c>
      <c r="K65" s="127">
        <v>143.86576244513054</v>
      </c>
      <c r="L65" s="179">
        <f>L17-L23-L51+L21+L33</f>
        <v>132.01928552049719</v>
      </c>
      <c r="M65" s="179">
        <f>M17-M23-M51+M21+M33</f>
        <v>132.01928552049719</v>
      </c>
      <c r="N65" s="179">
        <f>N17-N23-N51+N21+N33</f>
        <v>138.00576244513053</v>
      </c>
      <c r="O65" s="179">
        <f>O17-O23-O51+O21+O33</f>
        <v>138.00576244513053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pane xSplit="1" ySplit="1" topLeftCell="N2" activePane="bottomRight" state="frozen"/>
      <selection pane="topRight"/>
      <selection pane="bottomLeft"/>
      <selection pane="bottomRight" activeCell="S1" sqref="S1:U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2.25" style="3" customWidth="1"/>
    <col min="14" max="14" width="19.625" style="3" customWidth="1"/>
    <col min="15" max="15" width="18.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16384" width="9" style="3"/>
  </cols>
  <sheetData>
    <row r="1" spans="1:21" ht="14.25" customHeight="1">
      <c r="A1" s="4"/>
      <c r="B1" s="200" t="s">
        <v>100</v>
      </c>
      <c r="C1" s="200"/>
      <c r="D1" s="200"/>
      <c r="E1" s="200" t="s">
        <v>101</v>
      </c>
      <c r="F1" s="200"/>
      <c r="G1" s="201" t="s">
        <v>113</v>
      </c>
      <c r="H1" s="201"/>
      <c r="I1" s="201"/>
      <c r="J1" s="200" t="s">
        <v>116</v>
      </c>
      <c r="K1" s="200"/>
      <c r="L1" s="200"/>
      <c r="M1" s="200" t="s">
        <v>122</v>
      </c>
      <c r="N1" s="200"/>
      <c r="O1" s="200"/>
      <c r="P1" s="200" t="s">
        <v>123</v>
      </c>
      <c r="Q1" s="200"/>
      <c r="R1" s="200"/>
      <c r="S1" s="200" t="s">
        <v>124</v>
      </c>
      <c r="T1" s="200"/>
      <c r="U1" s="200"/>
    </row>
    <row r="2" spans="1:21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</row>
    <row r="3" spans="1:2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38">
        <v>2.6</v>
      </c>
      <c r="N3" s="138">
        <v>2.6</v>
      </c>
      <c r="O3" s="138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</row>
    <row r="4" spans="1:21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</row>
    <row r="5" spans="1:21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</row>
    <row r="6" spans="1:21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</row>
    <row r="7" spans="1:21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</row>
    <row r="8" spans="1:21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</row>
    <row r="9" spans="1:21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</row>
    <row r="10" spans="1:21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</row>
    <row r="11" spans="1:21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</row>
    <row r="12" spans="1:21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</row>
    <row r="13" spans="1:21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</row>
    <row r="14" spans="1:21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</row>
    <row r="15" spans="1:21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</row>
    <row r="16" spans="1:21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  <c r="S16" s="166">
        <f>S15+10*LOG10(S4)</f>
        <v>44</v>
      </c>
      <c r="T16" s="166">
        <f>T15+10*LOG10(T4)</f>
        <v>44</v>
      </c>
      <c r="U16" s="166">
        <f>U15+10*LOG10(U4)</f>
        <v>44</v>
      </c>
    </row>
    <row r="17" spans="1:21" ht="30">
      <c r="A17" s="8" t="s">
        <v>35</v>
      </c>
      <c r="B17" s="29">
        <f t="shared" ref="B17:L17" si="1">B15+10*LOG10(B41/1000000)</f>
        <v>45.375437381428746</v>
      </c>
      <c r="C17" s="29">
        <f t="shared" si="1"/>
        <v>45.375437381428746</v>
      </c>
      <c r="D17" s="29">
        <f t="shared" si="1"/>
        <v>45.375437381428746</v>
      </c>
      <c r="E17" s="29">
        <f t="shared" si="1"/>
        <v>36.375437381428746</v>
      </c>
      <c r="F17" s="29">
        <f t="shared" si="1"/>
        <v>36.375437381428746</v>
      </c>
      <c r="G17" s="73">
        <f t="shared" si="1"/>
        <v>36.375437381428746</v>
      </c>
      <c r="H17" s="73">
        <f t="shared" si="1"/>
        <v>36.375437381428746</v>
      </c>
      <c r="I17" s="73">
        <f t="shared" si="1"/>
        <v>36.375437381428746</v>
      </c>
      <c r="J17" s="13">
        <f t="shared" si="1"/>
        <v>45.375437381428746</v>
      </c>
      <c r="K17" s="13">
        <f t="shared" si="1"/>
        <v>45.375437381428746</v>
      </c>
      <c r="L17" s="13">
        <f t="shared" si="1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>P15+10*LOG10(P41/1000000)</f>
        <v>45.375437381428746</v>
      </c>
      <c r="Q17" s="164">
        <f>Q15+10*LOG10(Q41/1000000)</f>
        <v>45.375437381428746</v>
      </c>
      <c r="R17" s="164">
        <f>R15+10*LOG10(R41/1000000)</f>
        <v>45.375437381428746</v>
      </c>
      <c r="S17" s="166">
        <f>S15+10*LOG10(S41/1000000)</f>
        <v>36.375437381428746</v>
      </c>
      <c r="T17" s="166">
        <f>T15+10*LOG10(T41/1000000)</f>
        <v>36.375437381428746</v>
      </c>
      <c r="U17" s="166">
        <f>U15+10*LOG10(U41/1000000)</f>
        <v>36.375437381428746</v>
      </c>
    </row>
    <row r="18" spans="1:21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  <c r="S18" s="166">
        <f>S19+10*LOG10(S12/S13)-S20</f>
        <v>12.771212547196624</v>
      </c>
      <c r="T18" s="166">
        <f>T19+10*LOG10(T12/T13)-T20</f>
        <v>12.771212547196624</v>
      </c>
      <c r="U18" s="166">
        <f>U19+10*LOG10(U12/U13)-U20</f>
        <v>12.771212547196624</v>
      </c>
    </row>
    <row r="19" spans="1:21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</row>
    <row r="20" spans="1:21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</row>
    <row r="21" spans="1:21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3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</row>
    <row r="22" spans="1:21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</row>
    <row r="23" spans="1:21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</row>
    <row r="24" spans="1:21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</row>
    <row r="25" spans="1:21" ht="15">
      <c r="A25" s="8" t="s">
        <v>49</v>
      </c>
      <c r="B25" s="29">
        <f t="shared" ref="B25:L25" si="4">B17+B18+B21+B22-B24</f>
        <v>63.146649928625379</v>
      </c>
      <c r="C25" s="29">
        <f t="shared" si="4"/>
        <v>63.146649928625379</v>
      </c>
      <c r="D25" s="29">
        <f t="shared" si="4"/>
        <v>63.146649928625379</v>
      </c>
      <c r="E25" s="29">
        <f t="shared" si="4"/>
        <v>44.806649928625369</v>
      </c>
      <c r="F25" s="29">
        <f t="shared" si="4"/>
        <v>44.806649928625369</v>
      </c>
      <c r="G25" s="73">
        <f t="shared" si="4"/>
        <v>54.146649928625372</v>
      </c>
      <c r="H25" s="73">
        <f t="shared" si="4"/>
        <v>54.146649928625372</v>
      </c>
      <c r="I25" s="73">
        <f t="shared" si="4"/>
        <v>54.146649928625372</v>
      </c>
      <c r="J25" s="13">
        <f t="shared" si="4"/>
        <v>59.548149711824436</v>
      </c>
      <c r="K25" s="13">
        <f t="shared" si="4"/>
        <v>59.548149711824436</v>
      </c>
      <c r="L25" s="13">
        <f t="shared" si="4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>P17+P18+P21+P22-P24</f>
        <v>70.196649928625376</v>
      </c>
      <c r="Q25" s="164">
        <f>Q17+Q18+Q21+Q22-Q24</f>
        <v>70.196649928625376</v>
      </c>
      <c r="R25" s="164">
        <f>R17+R18+R21+R22-R24</f>
        <v>70.196649928625376</v>
      </c>
      <c r="S25" s="166">
        <f>S17+S18+S21+S22-S24</f>
        <v>54.146649928625372</v>
      </c>
      <c r="T25" s="166">
        <f>T17+T18+T21+T22-T24</f>
        <v>54.146649928625372</v>
      </c>
      <c r="U25" s="166">
        <f>U17+U18+U21+U22-U24</f>
        <v>54.146649928625372</v>
      </c>
    </row>
    <row r="26" spans="1:21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</row>
    <row r="27" spans="1:21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</row>
    <row r="28" spans="1:21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</row>
    <row r="29" spans="1:21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</row>
    <row r="30" spans="1:21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40">
        <v>0</v>
      </c>
      <c r="N30" s="140">
        <v>-3</v>
      </c>
      <c r="O30" s="140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  <c r="S30" s="166">
        <f>S31+10*LOG10(S28/S29)-S32</f>
        <v>0</v>
      </c>
      <c r="T30" s="166">
        <f>T31+10*LOG10(T28/T29)-T32</f>
        <v>-3</v>
      </c>
      <c r="U30" s="166">
        <f>U31+10*LOG10(U28/U29)-U32</f>
        <v>-3</v>
      </c>
    </row>
    <row r="31" spans="1:21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</row>
    <row r="32" spans="1:21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</row>
    <row r="33" spans="1:21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</row>
    <row r="34" spans="1:21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</row>
    <row r="35" spans="1:21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</row>
    <row r="36" spans="1:21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</row>
    <row r="37" spans="1:21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</row>
    <row r="38" spans="1:21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</row>
    <row r="39" spans="1:21" ht="30">
      <c r="A39" s="8" t="s">
        <v>106</v>
      </c>
      <c r="B39" s="29">
        <f t="shared" ref="B39:L39" si="6">10*LOG10(10^((B35+B36)/10)+10^(B37/10))</f>
        <v>-167.00000000000003</v>
      </c>
      <c r="C39" s="29">
        <f t="shared" si="6"/>
        <v>-167.00000000000003</v>
      </c>
      <c r="D39" s="29">
        <f t="shared" si="6"/>
        <v>-167.00000000000003</v>
      </c>
      <c r="E39" s="29">
        <f t="shared" si="6"/>
        <v>-167.00000000000003</v>
      </c>
      <c r="F39" s="29">
        <f t="shared" si="6"/>
        <v>-167.00000000000003</v>
      </c>
      <c r="G39" s="73">
        <f t="shared" si="6"/>
        <v>-167.00000000000003</v>
      </c>
      <c r="H39" s="73">
        <f t="shared" si="6"/>
        <v>-167.00000000000003</v>
      </c>
      <c r="I39" s="73">
        <f t="shared" si="6"/>
        <v>-167.00000000000003</v>
      </c>
      <c r="J39" s="13">
        <f t="shared" si="6"/>
        <v>-164.98918835931039</v>
      </c>
      <c r="K39" s="13">
        <f t="shared" si="6"/>
        <v>-164.98918835931039</v>
      </c>
      <c r="L39" s="13">
        <f t="shared" si="6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>10*LOG10(10^((P35+P36)/10)+10^(P37/10))</f>
        <v>-164.98918835931039</v>
      </c>
      <c r="Q39" s="164">
        <f>10*LOG10(10^((Q35+Q36)/10)+10^(Q37/10))</f>
        <v>-164.98918835931039</v>
      </c>
      <c r="R39" s="164">
        <f>10*LOG10(10^((R35+R36)/10)+10^(R37/10))</f>
        <v>-164.98918835931039</v>
      </c>
      <c r="S39" s="166">
        <f>10*LOG10(10^((S35+S36)/10)+10^(S37/10))</f>
        <v>-167.00000000000003</v>
      </c>
      <c r="T39" s="166">
        <f>10*LOG10(10^((T35+T36)/10)+10^(T37/10))</f>
        <v>-167.00000000000003</v>
      </c>
      <c r="U39" s="166">
        <f>10*LOG10(10^((U35+U36)/10)+10^(U37/10))</f>
        <v>-167.00000000000003</v>
      </c>
    </row>
    <row r="40" spans="1:21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</row>
    <row r="41" spans="1:21" ht="15">
      <c r="A41" s="21" t="s">
        <v>68</v>
      </c>
      <c r="B41" s="29">
        <f t="shared" ref="B41:L41" si="7">48*360*1000</f>
        <v>17280000</v>
      </c>
      <c r="C41" s="29">
        <f t="shared" si="7"/>
        <v>17280000</v>
      </c>
      <c r="D41" s="29">
        <f t="shared" si="7"/>
        <v>17280000</v>
      </c>
      <c r="E41" s="29">
        <f t="shared" si="7"/>
        <v>17280000</v>
      </c>
      <c r="F41" s="29">
        <f t="shared" si="7"/>
        <v>17280000</v>
      </c>
      <c r="G41" s="73">
        <f t="shared" si="7"/>
        <v>17280000</v>
      </c>
      <c r="H41" s="73">
        <f t="shared" si="7"/>
        <v>17280000</v>
      </c>
      <c r="I41" s="73">
        <f t="shared" si="7"/>
        <v>17280000</v>
      </c>
      <c r="J41" s="13">
        <f t="shared" si="7"/>
        <v>17280000</v>
      </c>
      <c r="K41" s="13">
        <f t="shared" si="7"/>
        <v>17280000</v>
      </c>
      <c r="L41" s="13">
        <f t="shared" si="7"/>
        <v>17280000</v>
      </c>
      <c r="M41" s="140">
        <v>17280000</v>
      </c>
      <c r="N41" s="140">
        <v>17280000</v>
      </c>
      <c r="O41" s="140">
        <v>17280000</v>
      </c>
      <c r="P41" s="164">
        <f>48*360*1000</f>
        <v>17280000</v>
      </c>
      <c r="Q41" s="164">
        <f>48*360*1000</f>
        <v>17280000</v>
      </c>
      <c r="R41" s="164">
        <f>48*360*1000</f>
        <v>17280000</v>
      </c>
      <c r="S41" s="166">
        <f>48*360*1000</f>
        <v>17280000</v>
      </c>
      <c r="T41" s="166">
        <f>48*360*1000</f>
        <v>17280000</v>
      </c>
      <c r="U41" s="166">
        <f>48*360*1000</f>
        <v>17280000</v>
      </c>
    </row>
    <row r="42" spans="1:21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</row>
    <row r="43" spans="1:21" ht="15">
      <c r="A43" s="8" t="s">
        <v>71</v>
      </c>
      <c r="B43" s="29">
        <f t="shared" ref="B43:L43" si="8">B39+10*LOG10(B41)</f>
        <v>-94.624562618571289</v>
      </c>
      <c r="C43" s="29">
        <f t="shared" si="8"/>
        <v>-94.624562618571289</v>
      </c>
      <c r="D43" s="29">
        <f t="shared" si="8"/>
        <v>-94.624562618571289</v>
      </c>
      <c r="E43" s="29">
        <f t="shared" si="8"/>
        <v>-94.624562618571289</v>
      </c>
      <c r="F43" s="29">
        <f t="shared" si="8"/>
        <v>-94.624562618571289</v>
      </c>
      <c r="G43" s="73">
        <f t="shared" si="8"/>
        <v>-94.624562618571289</v>
      </c>
      <c r="H43" s="73">
        <f t="shared" si="8"/>
        <v>-94.624562618571289</v>
      </c>
      <c r="I43" s="73">
        <f t="shared" si="8"/>
        <v>-94.624562618571289</v>
      </c>
      <c r="J43" s="13">
        <f t="shared" si="8"/>
        <v>-92.613750977881651</v>
      </c>
      <c r="K43" s="13">
        <f t="shared" si="8"/>
        <v>-92.613750977881651</v>
      </c>
      <c r="L43" s="13">
        <f t="shared" si="8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>P39+10*LOG10(P41)</f>
        <v>-92.613750977881651</v>
      </c>
      <c r="Q43" s="164">
        <f>Q39+10*LOG10(Q41)</f>
        <v>-92.613750977881651</v>
      </c>
      <c r="R43" s="164">
        <f>R39+10*LOG10(R41)</f>
        <v>-92.613750977881651</v>
      </c>
      <c r="S43" s="166">
        <f>S39+10*LOG10(S41)</f>
        <v>-94.624562618571289</v>
      </c>
      <c r="T43" s="166">
        <f>T39+10*LOG10(T41)</f>
        <v>-94.624562618571289</v>
      </c>
      <c r="U43" s="166">
        <f>U39+10*LOG10(U41)</f>
        <v>-94.624562618571289</v>
      </c>
    </row>
    <row r="44" spans="1:21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</row>
    <row r="45" spans="1:21" ht="15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</row>
    <row r="46" spans="1:21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</row>
    <row r="47" spans="1:21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</row>
    <row r="48" spans="1:21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</row>
    <row r="49" spans="1:21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</row>
    <row r="50" spans="1:21" ht="30">
      <c r="A50" s="8" t="s">
        <v>80</v>
      </c>
      <c r="B50" s="29">
        <f t="shared" ref="B50:L50" si="9">B43+B45+B47-B48</f>
        <v>-103.72456261857128</v>
      </c>
      <c r="C50" s="29">
        <f t="shared" si="9"/>
        <v>-100.92456261857129</v>
      </c>
      <c r="D50" s="29">
        <f t="shared" si="9"/>
        <v>-97.424562618571287</v>
      </c>
      <c r="E50" s="29">
        <f t="shared" si="9"/>
        <v>-103.98456261857129</v>
      </c>
      <c r="F50" s="29">
        <f t="shared" si="9"/>
        <v>-97.754562618571285</v>
      </c>
      <c r="G50" s="73">
        <f t="shared" si="9"/>
        <v>-105.30456261857128</v>
      </c>
      <c r="H50" s="73">
        <f t="shared" si="9"/>
        <v>-102.00456261857128</v>
      </c>
      <c r="I50" s="73">
        <f t="shared" si="9"/>
        <v>-98.034562618571286</v>
      </c>
      <c r="J50" s="13">
        <f t="shared" si="9"/>
        <v>-99.113750977881651</v>
      </c>
      <c r="K50" s="13">
        <f t="shared" si="9"/>
        <v>-96.47375097788165</v>
      </c>
      <c r="L50" s="13">
        <f t="shared" si="9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>P43+P45+P47-P48</f>
        <v>-99.213750977881645</v>
      </c>
      <c r="Q50" s="164">
        <f>Q43+Q45+Q47-Q48</f>
        <v>-96.313750977881654</v>
      </c>
      <c r="R50" s="164">
        <f>R43+R45+R47-R48</f>
        <v>-92.313750977881654</v>
      </c>
      <c r="S50" s="166">
        <f>S43+S45+S47-S48</f>
        <v>-103.63456261857129</v>
      </c>
      <c r="T50" s="166">
        <f>T43+T45+T47-T48</f>
        <v>-100.70456261857129</v>
      </c>
      <c r="U50" s="166">
        <f>U43+U45+U47-U48</f>
        <v>-97.424562618571287</v>
      </c>
    </row>
    <row r="51" spans="1:21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</row>
    <row r="52" spans="1:21" ht="30">
      <c r="A52" s="22" t="s">
        <v>83</v>
      </c>
      <c r="B52" s="37">
        <f t="shared" ref="B52:G52" si="10">B25+B30+B33-B34-B50</f>
        <v>165.87121254719665</v>
      </c>
      <c r="C52" s="37">
        <f t="shared" si="10"/>
        <v>160.07121254719667</v>
      </c>
      <c r="D52" s="37">
        <f t="shared" si="10"/>
        <v>156.57121254719667</v>
      </c>
      <c r="E52" s="37">
        <f t="shared" si="10"/>
        <v>147.79121254719666</v>
      </c>
      <c r="F52" s="37">
        <f t="shared" si="10"/>
        <v>138.56121254719665</v>
      </c>
      <c r="G52" s="78">
        <f t="shared" si="10"/>
        <v>158.45121254719666</v>
      </c>
      <c r="H52" s="78">
        <f t="shared" ref="H52:K52" si="11">H25+H30+H33-H34-H50</f>
        <v>152.15121254719665</v>
      </c>
      <c r="I52" s="78">
        <f t="shared" si="11"/>
        <v>148.18121254719665</v>
      </c>
      <c r="J52" s="23">
        <f t="shared" si="11"/>
        <v>157.6619006897061</v>
      </c>
      <c r="K52" s="23">
        <f t="shared" si="11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12">Q25+Q30+Q33-Q34-Q50</f>
        <v>162.51040090650702</v>
      </c>
      <c r="R52" s="171">
        <f t="shared" si="12"/>
        <v>158.51040090650702</v>
      </c>
      <c r="S52" s="171">
        <f>S25+S30+S33-S34-S50</f>
        <v>156.78121254719667</v>
      </c>
      <c r="T52" s="171">
        <f t="shared" ref="T52:U52" si="13">T25+T30+T33-T34-T50</f>
        <v>150.85121254719667</v>
      </c>
      <c r="U52" s="171">
        <f t="shared" si="13"/>
        <v>147.57121254719667</v>
      </c>
    </row>
    <row r="53" spans="1:21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</row>
    <row r="54" spans="1:21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</row>
    <row r="55" spans="1:21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</row>
    <row r="56" spans="1:21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</row>
    <row r="57" spans="1:21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</row>
    <row r="58" spans="1:21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</row>
    <row r="59" spans="1:21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</row>
    <row r="60" spans="1:21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</row>
    <row r="61" spans="1:21" ht="30">
      <c r="A61" s="22" t="s">
        <v>108</v>
      </c>
      <c r="B61" s="37">
        <f t="shared" ref="B61:G61" si="14">B52-B56+B58-B59+B60</f>
        <v>132.06121254719665</v>
      </c>
      <c r="C61" s="37">
        <f t="shared" si="14"/>
        <v>126.26121254719666</v>
      </c>
      <c r="D61" s="37">
        <f t="shared" si="14"/>
        <v>122.76121254719666</v>
      </c>
      <c r="E61" s="37">
        <f t="shared" si="14"/>
        <v>113.98121254719666</v>
      </c>
      <c r="F61" s="37">
        <f t="shared" si="14"/>
        <v>104.75121254719664</v>
      </c>
      <c r="G61" s="78">
        <f t="shared" si="14"/>
        <v>124.64121254719666</v>
      </c>
      <c r="H61" s="78">
        <f t="shared" ref="H61:K61" si="15">H52-H56+H58-H59+H60</f>
        <v>118.34121254719665</v>
      </c>
      <c r="I61" s="78">
        <f t="shared" si="15"/>
        <v>114.37121254719665</v>
      </c>
      <c r="J61" s="23">
        <f t="shared" si="15"/>
        <v>123.8519006897061</v>
      </c>
      <c r="K61" s="23">
        <f t="shared" si="15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16">Q52-Q56+Q58-Q59+Q60</f>
        <v>128.680400906507</v>
      </c>
      <c r="R61" s="171">
        <f t="shared" si="16"/>
        <v>124.680400906507</v>
      </c>
      <c r="S61" s="171">
        <f>S52-S56+S58-S59+S60</f>
        <v>122.97121254719667</v>
      </c>
      <c r="T61" s="171">
        <f t="shared" ref="T61:U61" si="17">T52-T56+T58-T59+T60</f>
        <v>117.04121254719666</v>
      </c>
      <c r="U61" s="171">
        <f t="shared" si="17"/>
        <v>113.76121254719666</v>
      </c>
    </row>
    <row r="62" spans="1:21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</row>
    <row r="63" spans="1:21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</row>
    <row r="64" spans="1:21" ht="15">
      <c r="A64" s="22" t="s">
        <v>97</v>
      </c>
      <c r="B64" s="37">
        <f t="shared" ref="B64:L64" si="18">B17+B22-B50+B21+B33</f>
        <v>157.10000000000002</v>
      </c>
      <c r="C64" s="37">
        <f t="shared" si="18"/>
        <v>154.30000000000004</v>
      </c>
      <c r="D64" s="37">
        <f t="shared" si="18"/>
        <v>150.80000000000004</v>
      </c>
      <c r="E64" s="37">
        <f t="shared" si="18"/>
        <v>141.97000000000006</v>
      </c>
      <c r="F64" s="37">
        <f t="shared" si="18"/>
        <v>135.74000000000004</v>
      </c>
      <c r="G64" s="78">
        <f t="shared" si="18"/>
        <v>149.68000000000004</v>
      </c>
      <c r="H64" s="78">
        <f t="shared" si="18"/>
        <v>146.38000000000002</v>
      </c>
      <c r="I64" s="78">
        <f t="shared" si="18"/>
        <v>142.41000000000003</v>
      </c>
      <c r="J64" s="23">
        <f t="shared" si="18"/>
        <v>151.54068814250945</v>
      </c>
      <c r="K64" s="23">
        <f t="shared" si="18"/>
        <v>148.90068814250947</v>
      </c>
      <c r="L64" s="23">
        <f t="shared" si="18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>P17+P22-P50+P21+P33</f>
        <v>159.6391883593104</v>
      </c>
      <c r="Q64" s="171">
        <f>Q17+Q22-Q50+Q21+Q33</f>
        <v>156.73918835931042</v>
      </c>
      <c r="R64" s="171">
        <f>R17+R22-R50+R21+R33</f>
        <v>152.73918835931042</v>
      </c>
      <c r="S64" s="171">
        <f>S17+S22-S50+S21+S33</f>
        <v>148.01000000000005</v>
      </c>
      <c r="T64" s="171">
        <f>T17+T22-T50+T21+T33</f>
        <v>145.08000000000004</v>
      </c>
      <c r="U64" s="171">
        <f>U17+U22-U50+U21+U33</f>
        <v>141.80000000000004</v>
      </c>
    </row>
    <row r="65" spans="1:21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caa248ac-567e-4f8a-83ad-95641c120e6c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kurita</cp:lastModifiedBy>
  <cp:lastPrinted>2006-01-19T03:50:00Z</cp:lastPrinted>
  <dcterms:created xsi:type="dcterms:W3CDTF">2003-11-11T03:59:00Z</dcterms:created>
  <dcterms:modified xsi:type="dcterms:W3CDTF">2020-10-20T23:42:13Z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(3)M8vsE/wJ24qcKxQmo4AzIPfLoXax7K3JMZBJ8ztDPko/SVrMoveBhxzhMkIXgv8TzbTnHX7R_x000d__x000d_
z5aQ0CwKF9pl+LmHw/YNhPfTyXjuVLJgjAz3wvaAr7+DujX50h98bUYuBlyXtBlgX/HGeQYI_x000d__x000d_
LthUr2snWv5l74UzO9dj8zvuhfK2PQHnBwMqiArh5kcZI3XLb+ZJRiqB7hWMLCbm7OuDkXSO_x000d__x000d_
XObNt5BeqqsbHxf7aM</vt:lpwstr>
  </property>
  <property fmtid="{D5CDD505-2E9C-101B-9397-08002B2CF9AE}" pid="7" name="_2015_ms_pID_7253431">
    <vt:lpwstr>BJ+RDjnBOdRKWgz95jYIfuQWEbcwvdXb714OTvNPjSrl4S0AxKSduL_x000d__x000d_
LBC3eMKFNJhO2CP3Pskm9RDopncAz0xee+9u5f11mzIMe4BEa25xtJLQ7O8eJ1NFJaZL5gyN_x000d__x000d_
tH/417mUxNmwWhNVQsZR3Vl05VnxupcggsvnW0JjLpjvwNLxP5PUGPpIY7g2gbIQtteHh19m_x000d__x000d_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