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 3GPP RAN1\2020\202009 RAN1#103\"/>
    </mc:Choice>
  </mc:AlternateContent>
  <bookViews>
    <workbookView xWindow="3708" yWindow="588" windowWidth="22980" windowHeight="15012" tabRatio="774" firstSheet="2" activeTab="13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G52" i="57" s="1"/>
  <c r="G61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U53" i="54" s="1"/>
  <c r="U62" i="54" s="1"/>
  <c r="T18" i="54"/>
  <c r="T26" i="54" s="1"/>
  <c r="T53" i="54" s="1"/>
  <c r="T62" i="54" s="1"/>
  <c r="AC42" i="53"/>
  <c r="AB42" i="53"/>
  <c r="AB17" i="53" s="1"/>
  <c r="AC40" i="53"/>
  <c r="AC44" i="53" s="1"/>
  <c r="AC51" i="53" s="1"/>
  <c r="AB40" i="53"/>
  <c r="AB44" i="53" s="1"/>
  <c r="AB51" i="53" s="1"/>
  <c r="AC30" i="53"/>
  <c r="AB30" i="53"/>
  <c r="AC18" i="53"/>
  <c r="AB18" i="53"/>
  <c r="AC17" i="53"/>
  <c r="AC16" i="53"/>
  <c r="AB16" i="53"/>
  <c r="AC42" i="52"/>
  <c r="AB42" i="52"/>
  <c r="AC40" i="52"/>
  <c r="AC44" i="52" s="1"/>
  <c r="AC51" i="52" s="1"/>
  <c r="AB40" i="52"/>
  <c r="AB44" i="52" s="1"/>
  <c r="AB51" i="52" s="1"/>
  <c r="AC30" i="52"/>
  <c r="AB30" i="52"/>
  <c r="AC18" i="52"/>
  <c r="AB18" i="52"/>
  <c r="AC17" i="52"/>
  <c r="AB17" i="52"/>
  <c r="AC16" i="52"/>
  <c r="AB16" i="52"/>
  <c r="AC41" i="51"/>
  <c r="AB41" i="51"/>
  <c r="AC39" i="51"/>
  <c r="AC43" i="51" s="1"/>
  <c r="AC50" i="51" s="1"/>
  <c r="AB39" i="51"/>
  <c r="AB43" i="51" s="1"/>
  <c r="AB50" i="51" s="1"/>
  <c r="AC30" i="51"/>
  <c r="AB30" i="51"/>
  <c r="AC18" i="51"/>
  <c r="AB18" i="51"/>
  <c r="AC17" i="51"/>
  <c r="AC64" i="51" s="1"/>
  <c r="AB17" i="51"/>
  <c r="AB64" i="51" s="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26" i="50"/>
  <c r="U53" i="50" s="1"/>
  <c r="U62" i="50" s="1"/>
  <c r="T26" i="50"/>
  <c r="T53" i="50" s="1"/>
  <c r="T62" i="50" s="1"/>
  <c r="U18" i="50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P25" i="49"/>
  <c r="Q18" i="49"/>
  <c r="P18" i="49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P52" i="48" s="1"/>
  <c r="P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R52" i="47" s="1"/>
  <c r="R61" i="47" s="1"/>
  <c r="AD42" i="46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7" i="46"/>
  <c r="AD65" i="46" s="1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F52" i="57" l="1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AB52" i="51" s="1"/>
  <c r="AB61" i="51" s="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S44" i="54" l="1"/>
  <c r="S51" i="54" s="1"/>
  <c r="S65" i="54" s="1"/>
  <c r="R44" i="54"/>
  <c r="R51" i="54" s="1"/>
  <c r="R65" i="54" s="1"/>
  <c r="S42" i="54"/>
  <c r="R42" i="54"/>
  <c r="S40" i="54"/>
  <c r="R40" i="54"/>
  <c r="S30" i="54"/>
  <c r="R30" i="54"/>
  <c r="S18" i="54"/>
  <c r="S26" i="54" s="1"/>
  <c r="S53" i="54" s="1"/>
  <c r="S62" i="54" s="1"/>
  <c r="R18" i="54"/>
  <c r="R26" i="54" s="1"/>
  <c r="R53" i="54" s="1"/>
  <c r="R62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Z65" i="53" s="1"/>
  <c r="Y17" i="53"/>
  <c r="Y65" i="53" s="1"/>
  <c r="AA16" i="53"/>
  <c r="Z16" i="53"/>
  <c r="Y16" i="53"/>
  <c r="AA42" i="52"/>
  <c r="AA17" i="52" s="1"/>
  <c r="Z42" i="52"/>
  <c r="Y42" i="52"/>
  <c r="AA40" i="52"/>
  <c r="AA44" i="52" s="1"/>
  <c r="AA51" i="52" s="1"/>
  <c r="Z40" i="52"/>
  <c r="Z44" i="52" s="1"/>
  <c r="Z51" i="52" s="1"/>
  <c r="Y40" i="52"/>
  <c r="Y44" i="52" s="1"/>
  <c r="Y51" i="52" s="1"/>
  <c r="AA30" i="52"/>
  <c r="Z30" i="52"/>
  <c r="Y30" i="52"/>
  <c r="AA18" i="52"/>
  <c r="Z18" i="52"/>
  <c r="Y18" i="52"/>
  <c r="Z17" i="52"/>
  <c r="Z65" i="52" s="1"/>
  <c r="Y17" i="52"/>
  <c r="Y65" i="52" s="1"/>
  <c r="AA16" i="52"/>
  <c r="Z16" i="52"/>
  <c r="Y16" i="52"/>
  <c r="AA41" i="51"/>
  <c r="AA17" i="51" s="1"/>
  <c r="Z41" i="51"/>
  <c r="Y41" i="51"/>
  <c r="AA39" i="51"/>
  <c r="AA43" i="51" s="1"/>
  <c r="AA50" i="51" s="1"/>
  <c r="Z39" i="51"/>
  <c r="Z43" i="51" s="1"/>
  <c r="Z50" i="51" s="1"/>
  <c r="Y39" i="51"/>
  <c r="Y43" i="51" s="1"/>
  <c r="Y50" i="51" s="1"/>
  <c r="AA30" i="51"/>
  <c r="Z30" i="51"/>
  <c r="Y30" i="51"/>
  <c r="AA18" i="51"/>
  <c r="Z18" i="51"/>
  <c r="Y18" i="51"/>
  <c r="Z17" i="51"/>
  <c r="Y17" i="51"/>
  <c r="Y64" i="51" s="1"/>
  <c r="AA16" i="51"/>
  <c r="Z16" i="51"/>
  <c r="Y16" i="51"/>
  <c r="S44" i="50"/>
  <c r="S51" i="50" s="1"/>
  <c r="S65" i="50" s="1"/>
  <c r="R44" i="50"/>
  <c r="R51" i="50" s="1"/>
  <c r="R65" i="50" s="1"/>
  <c r="S42" i="50"/>
  <c r="R42" i="50"/>
  <c r="S40" i="50"/>
  <c r="R40" i="50"/>
  <c r="S30" i="50"/>
  <c r="R30" i="50"/>
  <c r="S18" i="50"/>
  <c r="S26" i="50" s="1"/>
  <c r="S53" i="50" s="1"/>
  <c r="S62" i="50" s="1"/>
  <c r="R18" i="50"/>
  <c r="R26" i="50" s="1"/>
  <c r="R53" i="50" s="1"/>
  <c r="R62" i="50" s="1"/>
  <c r="O43" i="48"/>
  <c r="O50" i="48" s="1"/>
  <c r="O64" i="48" s="1"/>
  <c r="N43" i="48"/>
  <c r="N50" i="48" s="1"/>
  <c r="N64" i="48" s="1"/>
  <c r="O41" i="48"/>
  <c r="N41" i="48"/>
  <c r="O39" i="48"/>
  <c r="N39" i="48"/>
  <c r="O30" i="48"/>
  <c r="N30" i="48"/>
  <c r="O18" i="48"/>
  <c r="O25" i="48" s="1"/>
  <c r="O52" i="48" s="1"/>
  <c r="O61" i="48" s="1"/>
  <c r="N18" i="48"/>
  <c r="N25" i="48" s="1"/>
  <c r="N52" i="48" s="1"/>
  <c r="N61" i="48" s="1"/>
  <c r="Q43" i="47"/>
  <c r="Q50" i="47" s="1"/>
  <c r="Q64" i="47" s="1"/>
  <c r="P43" i="47"/>
  <c r="P50" i="47" s="1"/>
  <c r="P64" i="47" s="1"/>
  <c r="Q41" i="47"/>
  <c r="P41" i="47"/>
  <c r="Q39" i="47"/>
  <c r="P39" i="47"/>
  <c r="Q30" i="47"/>
  <c r="P30" i="47"/>
  <c r="Q18" i="47"/>
  <c r="Q25" i="47" s="1"/>
  <c r="Q52" i="47" s="1"/>
  <c r="Q61" i="47" s="1"/>
  <c r="P18" i="47"/>
  <c r="P25" i="47" s="1"/>
  <c r="P52" i="47" s="1"/>
  <c r="P61" i="47" s="1"/>
  <c r="AB42" i="46"/>
  <c r="AB17" i="46" s="1"/>
  <c r="AA42" i="46"/>
  <c r="Z42" i="46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A17" i="46"/>
  <c r="Z17" i="46"/>
  <c r="Z26" i="46" s="1"/>
  <c r="AB16" i="46"/>
  <c r="AA16" i="46"/>
  <c r="Z16" i="46"/>
  <c r="AB41" i="32"/>
  <c r="AA41" i="32"/>
  <c r="Z41" i="32"/>
  <c r="AB39" i="32"/>
  <c r="AB43" i="32" s="1"/>
  <c r="AB50" i="32" s="1"/>
  <c r="AA39" i="32"/>
  <c r="AA43" i="32" s="1"/>
  <c r="AA50" i="32" s="1"/>
  <c r="Z39" i="32"/>
  <c r="Z43" i="32" s="1"/>
  <c r="Z50" i="32" s="1"/>
  <c r="AB30" i="32"/>
  <c r="AA30" i="32"/>
  <c r="Z30" i="32"/>
  <c r="AB18" i="32"/>
  <c r="AA18" i="32"/>
  <c r="Z18" i="32"/>
  <c r="AB17" i="32"/>
  <c r="AB64" i="32" s="1"/>
  <c r="AA17" i="32"/>
  <c r="Z17" i="32"/>
  <c r="AB16" i="32"/>
  <c r="AA16" i="32"/>
  <c r="Z16" i="32"/>
  <c r="AA65" i="53" l="1"/>
  <c r="AA26" i="53"/>
  <c r="AA53" i="53" s="1"/>
  <c r="AA62" i="53" s="1"/>
  <c r="Y26" i="53"/>
  <c r="Y53" i="53" s="1"/>
  <c r="Y62" i="53" s="1"/>
  <c r="Z26" i="53"/>
  <c r="Z53" i="53" s="1"/>
  <c r="Z62" i="53" s="1"/>
  <c r="AA65" i="52"/>
  <c r="AA26" i="52"/>
  <c r="AA53" i="52" s="1"/>
  <c r="AA62" i="52" s="1"/>
  <c r="Y26" i="52"/>
  <c r="Y53" i="52" s="1"/>
  <c r="Y62" i="52" s="1"/>
  <c r="Z26" i="52"/>
  <c r="Z53" i="52" s="1"/>
  <c r="Z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Z53" i="46"/>
  <c r="Z62" i="46" s="1"/>
  <c r="AA65" i="46"/>
  <c r="AB26" i="46"/>
  <c r="AB53" i="46" s="1"/>
  <c r="AB62" i="46" s="1"/>
  <c r="AB65" i="46"/>
  <c r="Z65" i="46"/>
  <c r="AA26" i="46"/>
  <c r="AA53" i="46" s="1"/>
  <c r="AA62" i="46" s="1"/>
  <c r="Z64" i="32"/>
  <c r="AA64" i="32"/>
  <c r="Z25" i="32"/>
  <c r="Z52" i="32" s="1"/>
  <c r="Z61" i="32" s="1"/>
  <c r="AA25" i="32"/>
  <c r="AA52" i="32" s="1"/>
  <c r="AA61" i="32" s="1"/>
  <c r="AB25" i="32"/>
  <c r="AB52" i="32" s="1"/>
  <c r="AB61" i="32" s="1"/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P18" i="54"/>
  <c r="P26" i="54" s="1"/>
  <c r="X42" i="53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X17" i="53"/>
  <c r="X65" i="53" s="1"/>
  <c r="V17" i="53"/>
  <c r="V65" i="53" s="1"/>
  <c r="X16" i="53"/>
  <c r="W16" i="53"/>
  <c r="V16" i="53"/>
  <c r="X42" i="52"/>
  <c r="W42" i="52"/>
  <c r="W17" i="52" s="1"/>
  <c r="V42" i="52"/>
  <c r="X40" i="52"/>
  <c r="X44" i="52" s="1"/>
  <c r="X51" i="52" s="1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7" i="52"/>
  <c r="X65" i="52" s="1"/>
  <c r="V17" i="52"/>
  <c r="V65" i="52" s="1"/>
  <c r="X16" i="52"/>
  <c r="W16" i="52"/>
  <c r="V16" i="52"/>
  <c r="X50" i="51"/>
  <c r="X64" i="51" s="1"/>
  <c r="X43" i="51"/>
  <c r="W43" i="51"/>
  <c r="W50" i="51" s="1"/>
  <c r="X41" i="51"/>
  <c r="W41" i="51"/>
  <c r="W17" i="51" s="1"/>
  <c r="V41" i="51"/>
  <c r="V17" i="51" s="1"/>
  <c r="X39" i="51"/>
  <c r="W39" i="51"/>
  <c r="V39" i="51"/>
  <c r="V43" i="51" s="1"/>
  <c r="V50" i="51" s="1"/>
  <c r="X30" i="51"/>
  <c r="W30" i="51"/>
  <c r="V30" i="51"/>
  <c r="X25" i="51"/>
  <c r="X52" i="51" s="1"/>
  <c r="X61" i="51" s="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Q53" i="50" s="1"/>
  <c r="Q62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O52" i="47" s="1"/>
  <c r="O61" i="47" s="1"/>
  <c r="N18" i="47"/>
  <c r="N25" i="47" s="1"/>
  <c r="N52" i="47" s="1"/>
  <c r="N61" i="47" s="1"/>
  <c r="Y42" i="46"/>
  <c r="X42" i="46"/>
  <c r="W42" i="46"/>
  <c r="Y40" i="46"/>
  <c r="Y44" i="46" s="1"/>
  <c r="Y51" i="46" s="1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Y17" i="46"/>
  <c r="X17" i="46"/>
  <c r="X65" i="46" s="1"/>
  <c r="W17" i="46"/>
  <c r="W65" i="46" s="1"/>
  <c r="Y16" i="46"/>
  <c r="X16" i="46"/>
  <c r="W16" i="46"/>
  <c r="Y41" i="32"/>
  <c r="X41" i="32"/>
  <c r="W41" i="32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W25" i="32"/>
  <c r="Y18" i="32"/>
  <c r="X18" i="32"/>
  <c r="W18" i="32"/>
  <c r="Y17" i="32"/>
  <c r="Y64" i="32" s="1"/>
  <c r="X17" i="32"/>
  <c r="W17" i="32"/>
  <c r="Y16" i="32"/>
  <c r="X16" i="32"/>
  <c r="W16" i="32"/>
  <c r="E52" i="57" l="1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X53" i="52" s="1"/>
  <c r="X62" i="52" s="1"/>
  <c r="V64" i="51"/>
  <c r="V25" i="51"/>
  <c r="V52" i="51" s="1"/>
  <c r="V61" i="51" s="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S16" i="52" l="1"/>
  <c r="T16" i="52"/>
  <c r="U16" i="52"/>
  <c r="S17" i="52"/>
  <c r="S26" i="52" s="1"/>
  <c r="T17" i="52"/>
  <c r="T26" i="52" s="1"/>
  <c r="U17" i="52"/>
  <c r="U65" i="52" s="1"/>
  <c r="S18" i="52"/>
  <c r="T18" i="52"/>
  <c r="U18" i="52"/>
  <c r="S30" i="52"/>
  <c r="T30" i="52"/>
  <c r="U30" i="52"/>
  <c r="S40" i="52"/>
  <c r="S44" i="52" s="1"/>
  <c r="S51" i="52" s="1"/>
  <c r="S65" i="52" s="1"/>
  <c r="T40" i="52"/>
  <c r="T44" i="52" s="1"/>
  <c r="T51" i="52" s="1"/>
  <c r="U40" i="52"/>
  <c r="S42" i="52"/>
  <c r="T42" i="52"/>
  <c r="U42" i="52"/>
  <c r="U44" i="52"/>
  <c r="U51" i="52" s="1"/>
  <c r="S16" i="53"/>
  <c r="T16" i="53"/>
  <c r="U16" i="53"/>
  <c r="S17" i="53"/>
  <c r="T17" i="53"/>
  <c r="T26" i="53" s="1"/>
  <c r="U17" i="53"/>
  <c r="S18" i="53"/>
  <c r="S26" i="53" s="1"/>
  <c r="T18" i="53"/>
  <c r="U18" i="53"/>
  <c r="S30" i="53"/>
  <c r="T30" i="53"/>
  <c r="U30" i="53"/>
  <c r="S40" i="53"/>
  <c r="S44" i="53" s="1"/>
  <c r="S51" i="53" s="1"/>
  <c r="S65" i="53" s="1"/>
  <c r="T40" i="53"/>
  <c r="T44" i="53" s="1"/>
  <c r="T51" i="53" s="1"/>
  <c r="T65" i="53" s="1"/>
  <c r="U40" i="53"/>
  <c r="U44" i="53" s="1"/>
  <c r="U51" i="53" s="1"/>
  <c r="S42" i="53"/>
  <c r="T42" i="53"/>
  <c r="U42" i="53"/>
  <c r="O42" i="54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N53" i="54" s="1"/>
  <c r="N62" i="54" s="1"/>
  <c r="U41" i="51"/>
  <c r="U17" i="51" s="1"/>
  <c r="T41" i="51"/>
  <c r="T43" i="51" s="1"/>
  <c r="T50" i="51" s="1"/>
  <c r="S41" i="51"/>
  <c r="S17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26" i="53" l="1"/>
  <c r="S53" i="52"/>
  <c r="S62" i="52" s="1"/>
  <c r="T53" i="52"/>
  <c r="T62" i="52" s="1"/>
  <c r="U26" i="52"/>
  <c r="U53" i="52" s="1"/>
  <c r="U62" i="52" s="1"/>
  <c r="T65" i="52"/>
  <c r="U53" i="53"/>
  <c r="U62" i="53" s="1"/>
  <c r="T53" i="53"/>
  <c r="T62" i="53" s="1"/>
  <c r="S53" i="53"/>
  <c r="S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N26" i="50"/>
  <c r="O18" i="50"/>
  <c r="O26" i="50" s="1"/>
  <c r="O53" i="50" s="1"/>
  <c r="O62" i="50" s="1"/>
  <c r="N18" i="50"/>
  <c r="V42" i="46"/>
  <c r="V17" i="46" s="1"/>
  <c r="U42" i="46"/>
  <c r="U44" i="46" s="1"/>
  <c r="U51" i="46" s="1"/>
  <c r="T42" i="46"/>
  <c r="T17" i="46" s="1"/>
  <c r="V40" i="46"/>
  <c r="V44" i="46" s="1"/>
  <c r="V51" i="46" s="1"/>
  <c r="U40" i="46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U43" i="32"/>
  <c r="U50" i="32" s="1"/>
  <c r="V41" i="32"/>
  <c r="U41" i="32"/>
  <c r="U17" i="32" s="1"/>
  <c r="T41" i="32"/>
  <c r="T43" i="32" s="1"/>
  <c r="T50" i="32" s="1"/>
  <c r="V39" i="32"/>
  <c r="V43" i="32" s="1"/>
  <c r="V50" i="32" s="1"/>
  <c r="U39" i="32"/>
  <c r="T39" i="32"/>
  <c r="V30" i="32"/>
  <c r="U30" i="32"/>
  <c r="T30" i="32"/>
  <c r="V18" i="32"/>
  <c r="U18" i="32"/>
  <c r="T18" i="32"/>
  <c r="V17" i="32"/>
  <c r="V64" i="32" s="1"/>
  <c r="V16" i="32"/>
  <c r="U16" i="32"/>
  <c r="T16" i="32"/>
  <c r="T64" i="51" l="1"/>
  <c r="T25" i="51"/>
  <c r="T52" i="51" s="1"/>
  <c r="T61" i="51" s="1"/>
  <c r="N53" i="50"/>
  <c r="N62" i="50" s="1"/>
  <c r="T65" i="46"/>
  <c r="T26" i="46"/>
  <c r="T53" i="46" s="1"/>
  <c r="T62" i="46" s="1"/>
  <c r="V26" i="46"/>
  <c r="V53" i="46" s="1"/>
  <c r="V62" i="46" s="1"/>
  <c r="V65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L18" i="54"/>
  <c r="L26" i="54" s="1"/>
  <c r="L53" i="54" s="1"/>
  <c r="L62" i="54" s="1"/>
  <c r="R42" i="53"/>
  <c r="R44" i="53" s="1"/>
  <c r="R51" i="53" s="1"/>
  <c r="Q42" i="53"/>
  <c r="Q44" i="53" s="1"/>
  <c r="Q51" i="53" s="1"/>
  <c r="P42" i="53"/>
  <c r="P17" i="53" s="1"/>
  <c r="R40" i="53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Q44" i="52" s="1"/>
  <c r="Q51" i="52" s="1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P43" i="51" s="1"/>
  <c r="P50" i="51" s="1"/>
  <c r="P64" i="51" s="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L43" i="49"/>
  <c r="L50" i="49" s="1"/>
  <c r="L64" i="49" s="1"/>
  <c r="M41" i="49"/>
  <c r="L41" i="49"/>
  <c r="M39" i="49"/>
  <c r="M43" i="49" s="1"/>
  <c r="M50" i="49" s="1"/>
  <c r="M64" i="49" s="1"/>
  <c r="L39" i="49"/>
  <c r="M30" i="49"/>
  <c r="L30" i="49"/>
  <c r="L25" i="49"/>
  <c r="M18" i="49"/>
  <c r="M25" i="49" s="1"/>
  <c r="L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M41" i="47"/>
  <c r="L41" i="47"/>
  <c r="M39" i="47"/>
  <c r="L39" i="47"/>
  <c r="L43" i="47" s="1"/>
  <c r="L50" i="47" s="1"/>
  <c r="L64" i="47" s="1"/>
  <c r="M30" i="47"/>
  <c r="L30" i="47"/>
  <c r="M18" i="47"/>
  <c r="M25" i="47" s="1"/>
  <c r="L18" i="47"/>
  <c r="L25" i="47" s="1"/>
  <c r="S42" i="46"/>
  <c r="S17" i="46" s="1"/>
  <c r="R42" i="46"/>
  <c r="Q42" i="46"/>
  <c r="Q17" i="46" s="1"/>
  <c r="S40" i="46"/>
  <c r="R40" i="46"/>
  <c r="R44" i="46" s="1"/>
  <c r="R51" i="46" s="1"/>
  <c r="Q40" i="46"/>
  <c r="S30" i="46"/>
  <c r="R30" i="46"/>
  <c r="Q30" i="46"/>
  <c r="S18" i="46"/>
  <c r="R18" i="46"/>
  <c r="Q18" i="46"/>
  <c r="R17" i="46"/>
  <c r="S16" i="46"/>
  <c r="R16" i="46"/>
  <c r="Q16" i="46"/>
  <c r="S41" i="32"/>
  <c r="S17" i="32" s="1"/>
  <c r="R41" i="32"/>
  <c r="R17" i="32" s="1"/>
  <c r="Q41" i="32"/>
  <c r="S39" i="32"/>
  <c r="S43" i="32" s="1"/>
  <c r="S50" i="32" s="1"/>
  <c r="R39" i="32"/>
  <c r="Q39" i="32"/>
  <c r="Q43" i="32" s="1"/>
  <c r="Q50" i="32" s="1"/>
  <c r="S30" i="32"/>
  <c r="R30" i="32"/>
  <c r="Q30" i="32"/>
  <c r="S18" i="32"/>
  <c r="R18" i="32"/>
  <c r="Q18" i="32"/>
  <c r="Q25" i="32" s="1"/>
  <c r="Q17" i="32"/>
  <c r="S16" i="32"/>
  <c r="R16" i="32"/>
  <c r="Q16" i="32"/>
  <c r="U65" i="46" l="1"/>
  <c r="U26" i="46"/>
  <c r="U53" i="46" s="1"/>
  <c r="U62" i="46" s="1"/>
  <c r="T64" i="32"/>
  <c r="T25" i="32"/>
  <c r="T52" i="32" s="1"/>
  <c r="T61" i="32" s="1"/>
  <c r="Q64" i="51"/>
  <c r="M53" i="54"/>
  <c r="M62" i="54" s="1"/>
  <c r="R64" i="32"/>
  <c r="Q44" i="46"/>
  <c r="Q51" i="46" s="1"/>
  <c r="Q65" i="46" s="1"/>
  <c r="R43" i="32"/>
  <c r="R50" i="32" s="1"/>
  <c r="Q43" i="51"/>
  <c r="Q50" i="51" s="1"/>
  <c r="L52" i="49"/>
  <c r="L61" i="49" s="1"/>
  <c r="P25" i="51"/>
  <c r="P52" i="51" s="1"/>
  <c r="P61" i="51" s="1"/>
  <c r="Q26" i="46"/>
  <c r="Q53" i="46" s="1"/>
  <c r="Q62" i="46" s="1"/>
  <c r="S44" i="46"/>
  <c r="S51" i="46" s="1"/>
  <c r="M43" i="47"/>
  <c r="M50" i="47" s="1"/>
  <c r="M64" i="47" s="1"/>
  <c r="M43" i="48"/>
  <c r="M50" i="48" s="1"/>
  <c r="M64" i="48" s="1"/>
  <c r="R43" i="51"/>
  <c r="R50" i="51" s="1"/>
  <c r="L52" i="47"/>
  <c r="L61" i="47" s="1"/>
  <c r="L52" i="48"/>
  <c r="L61" i="48" s="1"/>
  <c r="L44" i="50"/>
  <c r="L51" i="50" s="1"/>
  <c r="L65" i="50" s="1"/>
  <c r="P44" i="52"/>
  <c r="P51" i="52" s="1"/>
  <c r="P65" i="52" s="1"/>
  <c r="P65" i="53"/>
  <c r="P26" i="53"/>
  <c r="P53" i="53" s="1"/>
  <c r="P62" i="53" s="1"/>
  <c r="Q17" i="53"/>
  <c r="R17" i="53"/>
  <c r="P26" i="52"/>
  <c r="R26" i="52"/>
  <c r="R53" i="52" s="1"/>
  <c r="R62" i="52" s="1"/>
  <c r="R65" i="52"/>
  <c r="Q17" i="52"/>
  <c r="R64" i="51"/>
  <c r="Q25" i="51"/>
  <c r="Q52" i="51" s="1"/>
  <c r="Q61" i="51" s="1"/>
  <c r="R25" i="51"/>
  <c r="R52" i="51" s="1"/>
  <c r="R61" i="51" s="1"/>
  <c r="M53" i="50"/>
  <c r="M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64" i="32"/>
  <c r="S25" i="32"/>
  <c r="S52" i="32" s="1"/>
  <c r="S61" i="32" s="1"/>
  <c r="R25" i="32"/>
  <c r="R52" i="32" s="1"/>
  <c r="R61" i="32" s="1"/>
  <c r="L53" i="50" l="1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B42" i="56"/>
  <c r="B17" i="56" s="1"/>
  <c r="D40" i="56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C17" i="56"/>
  <c r="C26" i="56" s="1"/>
  <c r="D16" i="56"/>
  <c r="C16" i="56"/>
  <c r="B16" i="56"/>
  <c r="K42" i="54"/>
  <c r="J42" i="54"/>
  <c r="K40" i="54"/>
  <c r="J40" i="54"/>
  <c r="J44" i="54" s="1"/>
  <c r="J51" i="54" s="1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N42" i="52"/>
  <c r="N17" i="52" s="1"/>
  <c r="M42" i="52"/>
  <c r="O40" i="52"/>
  <c r="O44" i="52" s="1"/>
  <c r="O51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N18" i="52"/>
  <c r="M18" i="52"/>
  <c r="O17" i="52"/>
  <c r="M17" i="52"/>
  <c r="O16" i="52"/>
  <c r="N16" i="52"/>
  <c r="M16" i="52"/>
  <c r="O65" i="52" l="1"/>
  <c r="N44" i="53"/>
  <c r="N51" i="53" s="1"/>
  <c r="N65" i="53" s="1"/>
  <c r="D44" i="56"/>
  <c r="D51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M65" i="53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B52" i="57"/>
  <c r="B61" i="57" s="1"/>
  <c r="C43" i="57"/>
  <c r="C50" i="57" s="1"/>
  <c r="C64" i="57" s="1"/>
  <c r="N26" i="53"/>
  <c r="N53" i="53" s="1"/>
  <c r="N62" i="53" s="1"/>
  <c r="M44" i="53"/>
  <c r="M51" i="53" s="1"/>
  <c r="B44" i="56"/>
  <c r="B51" i="56" s="1"/>
  <c r="B65" i="56" s="1"/>
  <c r="B26" i="56"/>
  <c r="C53" i="56"/>
  <c r="C62" i="56" s="1"/>
  <c r="D26" i="56"/>
  <c r="D53" i="56" s="1"/>
  <c r="D62" i="56" s="1"/>
  <c r="K53" i="54"/>
  <c r="K62" i="54" s="1"/>
  <c r="M26" i="53"/>
  <c r="O26" i="53"/>
  <c r="O53" i="53" s="1"/>
  <c r="O62" i="53" s="1"/>
  <c r="N26" i="52"/>
  <c r="N53" i="52" s="1"/>
  <c r="N62" i="52" s="1"/>
  <c r="B53" i="56" l="1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O43" i="51" s="1"/>
  <c r="O50" i="51" s="1"/>
  <c r="N39" i="51"/>
  <c r="N43" i="51" s="1"/>
  <c r="N50" i="51" s="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N44" i="46" s="1"/>
  <c r="N51" i="46" s="1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J64" i="49" l="1"/>
  <c r="N43" i="32"/>
  <c r="N50" i="32" s="1"/>
  <c r="P43" i="32"/>
  <c r="P50" i="32" s="1"/>
  <c r="P64" i="32" s="1"/>
  <c r="K44" i="50"/>
  <c r="K51" i="50" s="1"/>
  <c r="K65" i="50" s="1"/>
  <c r="M43" i="51"/>
  <c r="M50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64" i="51"/>
  <c r="M25" i="51"/>
  <c r="M52" i="51" s="1"/>
  <c r="M61" i="51" s="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J52" i="48"/>
  <c r="J61" i="48" s="1"/>
  <c r="K52" i="48"/>
  <c r="K61" i="48" s="1"/>
  <c r="J52" i="47"/>
  <c r="J61" i="47" s="1"/>
  <c r="K52" i="47"/>
  <c r="K61" i="47" s="1"/>
  <c r="N65" i="46"/>
  <c r="N26" i="46"/>
  <c r="N53" i="46" s="1"/>
  <c r="N62" i="46" s="1"/>
  <c r="O26" i="46"/>
  <c r="O53" i="46" s="1"/>
  <c r="O62" i="46" s="1"/>
  <c r="P26" i="46"/>
  <c r="P53" i="46" s="1"/>
  <c r="P62" i="46" s="1"/>
  <c r="N64" i="32"/>
  <c r="N25" i="32"/>
  <c r="N52" i="32" s="1"/>
  <c r="N61" i="32" s="1"/>
  <c r="O25" i="32"/>
  <c r="P25" i="32"/>
  <c r="P52" i="32" l="1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17" i="53" s="1"/>
  <c r="K42" i="53"/>
  <c r="J42" i="53"/>
  <c r="L40" i="53"/>
  <c r="K40" i="53"/>
  <c r="K44" i="53" s="1"/>
  <c r="K51" i="53" s="1"/>
  <c r="J40" i="53"/>
  <c r="L30" i="53"/>
  <c r="K30" i="53"/>
  <c r="J30" i="53"/>
  <c r="L18" i="53"/>
  <c r="K18" i="53"/>
  <c r="J18" i="53"/>
  <c r="K17" i="53"/>
  <c r="J17" i="53"/>
  <c r="L16" i="53"/>
  <c r="K16" i="53"/>
  <c r="J16" i="53"/>
  <c r="L42" i="52"/>
  <c r="L17" i="52" s="1"/>
  <c r="K42" i="52"/>
  <c r="K17" i="52" s="1"/>
  <c r="J42" i="52"/>
  <c r="J17" i="52" s="1"/>
  <c r="L40" i="52"/>
  <c r="L44" i="52" s="1"/>
  <c r="L51" i="52" s="1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H44" i="50" s="1"/>
  <c r="H51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K44" i="46" s="1"/>
  <c r="K51" i="46" s="1"/>
  <c r="M30" i="46"/>
  <c r="L30" i="46"/>
  <c r="K30" i="46"/>
  <c r="M18" i="46"/>
  <c r="L18" i="46"/>
  <c r="K18" i="46"/>
  <c r="M16" i="46"/>
  <c r="L16" i="46"/>
  <c r="K16" i="46"/>
  <c r="J26" i="53" l="1"/>
  <c r="J44" i="52"/>
  <c r="J51" i="52" s="1"/>
  <c r="L44" i="46"/>
  <c r="L51" i="46" s="1"/>
  <c r="J44" i="53"/>
  <c r="J51" i="53" s="1"/>
  <c r="M44" i="46"/>
  <c r="M51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L44" i="53"/>
  <c r="L51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65" i="53"/>
  <c r="L26" i="53"/>
  <c r="L53" i="53" s="1"/>
  <c r="L62" i="53" s="1"/>
  <c r="J65" i="53"/>
  <c r="K65" i="53"/>
  <c r="J53" i="53"/>
  <c r="J62" i="53" s="1"/>
  <c r="K26" i="53"/>
  <c r="K53" i="53" s="1"/>
  <c r="K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I53" i="50" l="1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I17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C17" i="52" s="1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B17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C26" i="50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C25" i="48"/>
  <c r="E18" i="48"/>
  <c r="E25" i="48" s="1"/>
  <c r="E52" i="48" s="1"/>
  <c r="E61" i="48" s="1"/>
  <c r="D18" i="48"/>
  <c r="D25" i="48" s="1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43" i="32" l="1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E58" i="29"/>
  <c r="E67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G65" i="46"/>
  <c r="C52" i="48"/>
  <c r="C61" i="48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C58" i="31" s="1"/>
  <c r="C67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D57" i="31"/>
  <c r="D66" i="31" s="1"/>
  <c r="B48" i="29"/>
  <c r="B55" i="29" s="1"/>
  <c r="B69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G52" i="49"/>
  <c r="G61" i="49" s="1"/>
  <c r="H65" i="46"/>
  <c r="D64" i="32"/>
  <c r="E44" i="46"/>
  <c r="E51" i="46" s="1"/>
  <c r="C43" i="51"/>
  <c r="C50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C64" i="51"/>
  <c r="G53" i="54"/>
  <c r="G62" i="54" s="1"/>
  <c r="C70" i="31"/>
  <c r="D65" i="46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J65" i="46"/>
  <c r="I65" i="46"/>
  <c r="I26" i="46"/>
  <c r="I53" i="46" s="1"/>
  <c r="I62" i="46" s="1"/>
  <c r="J26" i="46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G64" i="32"/>
  <c r="E52" i="47"/>
  <c r="E61" i="47" s="1"/>
  <c r="B65" i="53"/>
  <c r="B52" i="49"/>
  <c r="B61" i="49" s="1"/>
  <c r="E26" i="52"/>
  <c r="E53" i="52" s="1"/>
  <c r="E62" i="52" s="1"/>
  <c r="E65" i="52"/>
  <c r="B65" i="52"/>
  <c r="E65" i="46"/>
  <c r="E26" i="46"/>
  <c r="B64" i="32"/>
  <c r="B65" i="46"/>
  <c r="D52" i="48"/>
  <c r="D61" i="48" s="1"/>
  <c r="E52" i="49"/>
  <c r="E61" i="49" s="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B57" i="29" l="1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<sst xmlns="http://schemas.openxmlformats.org/spreadsheetml/2006/main" count="5379" uniqueCount="137">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</sst>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000000_ "/>
    <numFmt numFmtId="177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1.4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5.2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7.6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7.6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7.6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7.6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27.6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7.6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3.8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70" zoomScaleNormal="70" workbookViewId="0">
      <pane xSplit="1" ySplit="1" topLeftCell="T50" activePane="bottomRight" state="frozen"/>
      <selection pane="topRight"/>
      <selection pane="bottomLeft"/>
      <selection pane="bottomRight" activeCell="AA69" sqref="AA69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2.5" style="1" bestFit="1" customWidth="1"/>
    <col min="17" max="18" width="15.69921875" style="1" bestFit="1" customWidth="1"/>
    <col min="19" max="19" width="17.59765625" style="1" customWidth="1"/>
    <col min="20" max="20" width="13.19921875" style="1" customWidth="1"/>
    <col min="21" max="21" width="20.6992187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5.69921875" style="1" customWidth="1"/>
    <col min="31" max="16384" width="9" style="1"/>
  </cols>
  <sheetData>
    <row r="1" spans="1:30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</row>
    <row r="2" spans="1:3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</row>
    <row r="3" spans="1:3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</row>
    <row r="4" spans="1:3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</row>
    <row r="5" spans="1:3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</row>
    <row r="6" spans="1:3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</row>
    <row r="7" spans="1: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</row>
    <row r="8" spans="1:30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</row>
    <row r="9" spans="1:30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</row>
    <row r="10" spans="1:3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</row>
    <row r="11" spans="1:30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</row>
    <row r="13" spans="1:3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</row>
    <row r="14" spans="1:3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</row>
    <row r="15" spans="1:3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</row>
    <row r="16" spans="1:30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</row>
    <row r="17" spans="1:30" ht="27.6">
      <c r="A17" s="7" t="s">
        <v>35</v>
      </c>
      <c r="B17" s="12">
        <f t="shared" ref="B17:I17" si="4">B15+10*LOG10(B42/1000000)</f>
        <v>34.583624920952495</v>
      </c>
      <c r="C17" s="12">
        <f t="shared" si="4"/>
        <v>34.583624920952495</v>
      </c>
      <c r="D17" s="12">
        <f t="shared" si="4"/>
        <v>34.583624920952495</v>
      </c>
      <c r="E17" s="12">
        <f t="shared" si="4"/>
        <v>33.334237554869496</v>
      </c>
      <c r="F17" s="12">
        <f t="shared" si="4"/>
        <v>33.334237554869496</v>
      </c>
      <c r="G17" s="71">
        <f t="shared" si="4"/>
        <v>33.334237554869496</v>
      </c>
      <c r="H17" s="71">
        <f t="shared" si="4"/>
        <v>33.334237554869496</v>
      </c>
      <c r="I17" s="71">
        <f t="shared" si="4"/>
        <v>33.334237554869496</v>
      </c>
      <c r="J17" s="12">
        <f t="shared" ref="J17:O17" si="5">J15+10*LOG10(J42/1000000)</f>
        <v>34.583624920952495</v>
      </c>
      <c r="K17" s="12">
        <f t="shared" si="5"/>
        <v>34.583624920952495</v>
      </c>
      <c r="L17" s="12">
        <f t="shared" si="5"/>
        <v>34.583624920952495</v>
      </c>
      <c r="M17" s="12">
        <f t="shared" si="5"/>
        <v>34.583624920952495</v>
      </c>
      <c r="N17" s="12">
        <f t="shared" si="5"/>
        <v>34.583624920952495</v>
      </c>
      <c r="O17" s="12">
        <f t="shared" si="5"/>
        <v>34.583624920952495</v>
      </c>
      <c r="P17" s="12">
        <f t="shared" ref="P17:U17" si="6">P15+10*LOG10(P42/1000000)</f>
        <v>33.334237554869496</v>
      </c>
      <c r="Q17" s="12">
        <f t="shared" si="6"/>
        <v>33.334237554869496</v>
      </c>
      <c r="R17" s="12">
        <f t="shared" si="6"/>
        <v>33.334237554869496</v>
      </c>
      <c r="S17" s="8">
        <f t="shared" si="6"/>
        <v>33.334237554869496</v>
      </c>
      <c r="T17" s="8">
        <f t="shared" si="6"/>
        <v>33.334237554869496</v>
      </c>
      <c r="U17" s="8">
        <f t="shared" si="6"/>
        <v>33.334237554869496</v>
      </c>
      <c r="V17" s="8">
        <f t="shared" ref="V17:AA17" si="7">V15+10*LOG10(V42/1000000)</f>
        <v>33.334237554869496</v>
      </c>
      <c r="W17" s="8">
        <f t="shared" si="7"/>
        <v>33.334237554869496</v>
      </c>
      <c r="X17" s="8">
        <f t="shared" si="7"/>
        <v>33.334237554869496</v>
      </c>
      <c r="Y17" s="12">
        <f t="shared" si="7"/>
        <v>33.334237554869496</v>
      </c>
      <c r="Z17" s="12">
        <f t="shared" si="7"/>
        <v>33.334237554869496</v>
      </c>
      <c r="AA17" s="12">
        <f t="shared" si="7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</row>
    <row r="18" spans="1:30" ht="41.4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 t="shared" ref="J18:O18" si="9">J19+10*LOG10(J12/J13)-J20</f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</row>
    <row r="19" spans="1:3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</row>
    <row r="20" spans="1:30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</row>
    <row r="21" spans="1:30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</row>
    <row r="22" spans="1:3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</row>
    <row r="23" spans="1:3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</row>
    <row r="24" spans="1:30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</row>
    <row r="25" spans="1:3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</row>
    <row r="26" spans="1:30">
      <c r="A26" s="7" t="s">
        <v>51</v>
      </c>
      <c r="B26" s="12">
        <f t="shared" ref="B26:I26" si="13">B17+B18+B21-B23-B24</f>
        <v>52.354837468149121</v>
      </c>
      <c r="C26" s="12">
        <f t="shared" si="13"/>
        <v>52.354837468149121</v>
      </c>
      <c r="D26" s="12">
        <f t="shared" si="13"/>
        <v>52.354837468149121</v>
      </c>
      <c r="E26" s="12">
        <f t="shared" si="13"/>
        <v>41.765450102066119</v>
      </c>
      <c r="F26" s="12">
        <f t="shared" si="13"/>
        <v>41.765450102066119</v>
      </c>
      <c r="G26" s="71">
        <f t="shared" si="13"/>
        <v>51.105450102066122</v>
      </c>
      <c r="H26" s="71">
        <f t="shared" si="13"/>
        <v>51.105450102066122</v>
      </c>
      <c r="I26" s="71">
        <f t="shared" si="13"/>
        <v>51.105450102066122</v>
      </c>
      <c r="J26" s="12">
        <f t="shared" ref="J26:O26" si="14">J17+J18+J21-J23-J24</f>
        <v>52.354837468149121</v>
      </c>
      <c r="K26" s="12">
        <f t="shared" si="14"/>
        <v>52.354837468149121</v>
      </c>
      <c r="L26" s="12">
        <f t="shared" si="14"/>
        <v>52.354837468149121</v>
      </c>
      <c r="M26" s="12">
        <f t="shared" si="14"/>
        <v>48.756337251348185</v>
      </c>
      <c r="N26" s="12">
        <f t="shared" si="14"/>
        <v>48.756337251348185</v>
      </c>
      <c r="O26" s="12">
        <f t="shared" si="14"/>
        <v>48.756337251348185</v>
      </c>
      <c r="P26" s="12">
        <f t="shared" ref="P26:U26" si="15">P17+P18+P21-P23-P24</f>
        <v>51.105450102066122</v>
      </c>
      <c r="Q26" s="12">
        <f t="shared" si="15"/>
        <v>51.105450102066122</v>
      </c>
      <c r="R26" s="12">
        <f t="shared" si="15"/>
        <v>51.105450102066122</v>
      </c>
      <c r="S26" s="8">
        <f t="shared" si="15"/>
        <v>53.105450102066122</v>
      </c>
      <c r="T26" s="8">
        <f t="shared" si="15"/>
        <v>53.105450102066122</v>
      </c>
      <c r="U26" s="8">
        <f t="shared" si="15"/>
        <v>53.105450102066122</v>
      </c>
      <c r="V26" s="8">
        <f t="shared" ref="V26:AA26" si="16">V17+V18+V21-V23-V24</f>
        <v>58.155450102066126</v>
      </c>
      <c r="W26" s="8">
        <f t="shared" si="16"/>
        <v>58.155450102066126</v>
      </c>
      <c r="X26" s="8">
        <f t="shared" si="16"/>
        <v>58.155450102066126</v>
      </c>
      <c r="Y26" s="12">
        <f t="shared" si="16"/>
        <v>51.105450102066122</v>
      </c>
      <c r="Z26" s="12">
        <f t="shared" si="16"/>
        <v>51.105450102066122</v>
      </c>
      <c r="AA26" s="12">
        <f t="shared" si="16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</row>
    <row r="27" spans="1:30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</row>
    <row r="29" spans="1:3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</row>
    <row r="30" spans="1:30" ht="41.4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 t="shared" ref="J30:O30" si="18">J31+10*LOG10(J28/J29)-J32</f>
        <v>0</v>
      </c>
      <c r="K30" s="12">
        <f t="shared" si="18"/>
        <v>-3</v>
      </c>
      <c r="L30" s="12">
        <f t="shared" si="18"/>
        <v>-3</v>
      </c>
      <c r="M30" s="12">
        <f t="shared" si="18"/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</row>
    <row r="31" spans="1:3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</row>
    <row r="32" spans="1:30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</row>
    <row r="33" spans="1:30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</row>
    <row r="34" spans="1:30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</row>
    <row r="35" spans="1:3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</row>
    <row r="36" spans="1:3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</row>
    <row r="37" spans="1:30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</row>
    <row r="38" spans="1:30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</row>
    <row r="39" spans="1:30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</row>
    <row r="40" spans="1:30" ht="27.6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 t="shared" ref="J40:O40" si="22">10*LOG10(10^((J35+J36)/10)+10^(J38/10))</f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</row>
    <row r="41" spans="1:30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</row>
    <row r="42" spans="1:30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25">3*360*1000</f>
        <v>1080000</v>
      </c>
      <c r="I42" s="74">
        <f t="shared" si="25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26">4*360*1000</f>
        <v>1440000</v>
      </c>
      <c r="O42" s="16">
        <f t="shared" si="26"/>
        <v>1440000</v>
      </c>
      <c r="P42" s="16">
        <f>3*360*1000</f>
        <v>1080000</v>
      </c>
      <c r="Q42" s="16">
        <f t="shared" ref="Q42:R42" si="27">3*360*1000</f>
        <v>1080000</v>
      </c>
      <c r="R42" s="16">
        <f t="shared" si="27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28">3*360*1000</f>
        <v>1080000</v>
      </c>
      <c r="X42" s="16">
        <f t="shared" si="28"/>
        <v>1080000</v>
      </c>
      <c r="Y42" s="16">
        <f>3*360*1000</f>
        <v>1080000</v>
      </c>
      <c r="Z42" s="16">
        <f t="shared" ref="Z42:AA42" si="29">3*360*1000</f>
        <v>1080000</v>
      </c>
      <c r="AA42" s="16">
        <f t="shared" si="29"/>
        <v>1080000</v>
      </c>
      <c r="AB42" s="16">
        <f>4*360*1000</f>
        <v>1440000</v>
      </c>
      <c r="AC42" s="16">
        <f>4*360*1000</f>
        <v>1440000</v>
      </c>
      <c r="AD42" s="16"/>
    </row>
    <row r="43" spans="1: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</row>
    <row r="44" spans="1:30">
      <c r="A44" s="7" t="s">
        <v>72</v>
      </c>
      <c r="B44" s="12">
        <f t="shared" ref="B44:I44" si="30">B40+10*LOG10(B42)</f>
        <v>-105.41637507904753</v>
      </c>
      <c r="C44" s="12">
        <f t="shared" si="30"/>
        <v>-105.41637507904753</v>
      </c>
      <c r="D44" s="12">
        <f t="shared" si="30"/>
        <v>-105.41637507904753</v>
      </c>
      <c r="E44" s="12">
        <f t="shared" si="30"/>
        <v>-106.66576244513053</v>
      </c>
      <c r="F44" s="12">
        <f t="shared" si="30"/>
        <v>-106.66576244513053</v>
      </c>
      <c r="G44" s="71">
        <f t="shared" si="30"/>
        <v>-106.66576244513053</v>
      </c>
      <c r="H44" s="71">
        <f t="shared" si="30"/>
        <v>-106.66576244513053</v>
      </c>
      <c r="I44" s="71">
        <f t="shared" si="30"/>
        <v>-106.66576244513053</v>
      </c>
      <c r="J44" s="12">
        <f t="shared" ref="J44:O44" si="31">J40+10*LOG10(J42)</f>
        <v>-105.41637507904753</v>
      </c>
      <c r="K44" s="12">
        <f t="shared" si="31"/>
        <v>-105.41637507904753</v>
      </c>
      <c r="L44" s="12">
        <f t="shared" si="31"/>
        <v>-105.41637507904753</v>
      </c>
      <c r="M44" s="12">
        <f t="shared" si="31"/>
        <v>-103.40556343835789</v>
      </c>
      <c r="N44" s="12">
        <f t="shared" si="31"/>
        <v>-103.40556343835789</v>
      </c>
      <c r="O44" s="12">
        <f t="shared" si="31"/>
        <v>-103.40556343835789</v>
      </c>
      <c r="P44" s="12">
        <f t="shared" ref="P44:U44" si="32">P40+10*LOG10(P42)</f>
        <v>-106.66576244513053</v>
      </c>
      <c r="Q44" s="12">
        <f t="shared" si="32"/>
        <v>-106.66576244513053</v>
      </c>
      <c r="R44" s="12">
        <f t="shared" si="32"/>
        <v>-106.66576244513053</v>
      </c>
      <c r="S44" s="8">
        <f t="shared" si="32"/>
        <v>-106.66576244513053</v>
      </c>
      <c r="T44" s="8">
        <f t="shared" si="32"/>
        <v>-106.66576244513053</v>
      </c>
      <c r="U44" s="8">
        <f t="shared" si="32"/>
        <v>-106.66576244513053</v>
      </c>
      <c r="V44" s="8">
        <f t="shared" ref="V44:AA44" si="33">V40+10*LOG10(V42)</f>
        <v>-104.65495080444089</v>
      </c>
      <c r="W44" s="8">
        <f t="shared" si="33"/>
        <v>-104.65495080444089</v>
      </c>
      <c r="X44" s="8">
        <f t="shared" si="33"/>
        <v>-104.65495080444089</v>
      </c>
      <c r="Y44" s="12">
        <f t="shared" si="33"/>
        <v>-106.66576244513053</v>
      </c>
      <c r="Z44" s="12">
        <f t="shared" si="33"/>
        <v>-106.66576244513053</v>
      </c>
      <c r="AA44" s="12">
        <f t="shared" si="33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</row>
    <row r="45" spans="1:30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</row>
    <row r="46" spans="1:30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</row>
    <row r="47" spans="1:3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</row>
    <row r="48" spans="1:30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</row>
    <row r="49" spans="1:3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</row>
    <row r="50" spans="1:30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</row>
    <row r="51" spans="1:30" ht="27.6">
      <c r="A51" s="7" t="s">
        <v>82</v>
      </c>
      <c r="B51" s="12">
        <f t="shared" ref="B51:I51" si="34">B44+B46+B47-B49</f>
        <v>-110.91637507904753</v>
      </c>
      <c r="C51" s="12">
        <f t="shared" si="34"/>
        <v>-107.41637507904753</v>
      </c>
      <c r="D51" s="12">
        <f t="shared" si="34"/>
        <v>-102.21637507904752</v>
      </c>
      <c r="E51" s="12">
        <f t="shared" si="34"/>
        <v>-116.89576244513053</v>
      </c>
      <c r="F51" s="12">
        <f t="shared" si="34"/>
        <v>-113.18576244513052</v>
      </c>
      <c r="G51" s="71">
        <f t="shared" si="34"/>
        <v>-112.09576244513053</v>
      </c>
      <c r="H51" s="71">
        <f t="shared" si="34"/>
        <v>-108.11576244513053</v>
      </c>
      <c r="I51" s="71">
        <f t="shared" si="34"/>
        <v>-102.08576244513053</v>
      </c>
      <c r="J51" s="12">
        <f t="shared" ref="J51:O51" si="35">J44+J46+J47-J49</f>
        <v>-110.11637507904753</v>
      </c>
      <c r="K51" s="12">
        <f t="shared" si="35"/>
        <v>-105.34637507904753</v>
      </c>
      <c r="L51" s="12">
        <f t="shared" si="35"/>
        <v>-99.216375079047523</v>
      </c>
      <c r="M51" s="12">
        <f t="shared" si="35"/>
        <v>-109.38556343835789</v>
      </c>
      <c r="N51" s="12">
        <f t="shared" si="35"/>
        <v>-104.84556343835789</v>
      </c>
      <c r="O51" s="12">
        <f t="shared" si="35"/>
        <v>-99.905563438357888</v>
      </c>
      <c r="P51" s="12">
        <f t="shared" ref="P51:U51" si="36">P44+P46+P47-P49</f>
        <v>-112.76576244513052</v>
      </c>
      <c r="Q51" s="12">
        <f t="shared" si="36"/>
        <v>-108.26576244513052</v>
      </c>
      <c r="R51" s="12">
        <f t="shared" si="36"/>
        <v>-103.06576244513053</v>
      </c>
      <c r="S51" s="8">
        <f t="shared" si="36"/>
        <v>-110.66576244513053</v>
      </c>
      <c r="T51" s="8">
        <f t="shared" si="36"/>
        <v>-108.16576244513053</v>
      </c>
      <c r="U51" s="8">
        <f t="shared" si="36"/>
        <v>-105.16576244513053</v>
      </c>
      <c r="V51" s="8">
        <f t="shared" ref="V51:AA51" si="37">V44+V46+V47-V49</f>
        <v>-110.15495080444089</v>
      </c>
      <c r="W51" s="8">
        <f t="shared" si="37"/>
        <v>-107.35495080444089</v>
      </c>
      <c r="X51" s="8">
        <f t="shared" si="37"/>
        <v>-103.65495080444089</v>
      </c>
      <c r="Y51" s="12">
        <f t="shared" si="37"/>
        <v>-110.37576244513052</v>
      </c>
      <c r="Z51" s="12">
        <f t="shared" si="37"/>
        <v>-105.83576244513053</v>
      </c>
      <c r="AA51" s="12">
        <f t="shared" si="37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</row>
    <row r="52" spans="1:30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</row>
    <row r="53" spans="1:30" ht="27.6">
      <c r="A53" s="29" t="s">
        <v>85</v>
      </c>
      <c r="B53" s="22">
        <f t="shared" ref="B53:G53" si="38">B26+B30+B33-B34-B51</f>
        <v>162.27121254719665</v>
      </c>
      <c r="C53" s="22">
        <f t="shared" si="38"/>
        <v>155.77121254719665</v>
      </c>
      <c r="D53" s="22">
        <f t="shared" si="38"/>
        <v>150.57121254719664</v>
      </c>
      <c r="E53" s="22">
        <f t="shared" si="38"/>
        <v>157.66121254719664</v>
      </c>
      <c r="F53" s="22">
        <f t="shared" si="38"/>
        <v>150.95121254719663</v>
      </c>
      <c r="G53" s="76">
        <f t="shared" si="38"/>
        <v>162.20121254719666</v>
      </c>
      <c r="H53" s="76">
        <f t="shared" ref="H53:I53" si="39">H26+H30+H33-H34-H51</f>
        <v>155.22121254719664</v>
      </c>
      <c r="I53" s="76">
        <f t="shared" si="39"/>
        <v>149.19121254719664</v>
      </c>
      <c r="J53" s="22">
        <f>J26+J30+J33-J34-J51</f>
        <v>161.47121254719664</v>
      </c>
      <c r="K53" s="22">
        <f t="shared" ref="K53:L53" si="40">K26+K30+K33-K34-K51</f>
        <v>153.70121254719666</v>
      </c>
      <c r="L53" s="22">
        <f t="shared" si="40"/>
        <v>147.57121254719664</v>
      </c>
      <c r="M53" s="22">
        <f>M26+M30+M33-M34-M51</f>
        <v>157.14190068970606</v>
      </c>
      <c r="N53" s="22">
        <f t="shared" ref="N53:O53" si="41">N26+N30+N33-N34-N51</f>
        <v>149.60190068970607</v>
      </c>
      <c r="O53" s="22">
        <f t="shared" si="41"/>
        <v>144.66190068970607</v>
      </c>
      <c r="P53" s="22">
        <f>P26+P30+P33-P34-P51</f>
        <v>162.87121254719665</v>
      </c>
      <c r="Q53" s="22">
        <f t="shared" ref="Q53:R53" si="42">Q26+Q30+Q33-Q34-Q51</f>
        <v>155.37121254719665</v>
      </c>
      <c r="R53" s="22">
        <f t="shared" si="4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43">W26+W30+W33-W34-W51</f>
        <v>161.51040090650702</v>
      </c>
      <c r="X53" s="22">
        <f t="shared" si="43"/>
        <v>157.81040090650703</v>
      </c>
      <c r="Y53" s="22">
        <f>Y26+Y30+Y33-Y34-Y51</f>
        <v>160.48121254719663</v>
      </c>
      <c r="Z53" s="22">
        <f t="shared" ref="Z53:AA53" si="44">Z26+Z30+Z33-Z34-Z51</f>
        <v>152.94121254719664</v>
      </c>
      <c r="AA53" s="22">
        <f t="shared" si="44"/>
        <v>147.26121254719664</v>
      </c>
      <c r="AB53" s="22">
        <f>AB26+AB30+AB33-AB34-AB51</f>
        <v>160.76040090650702</v>
      </c>
      <c r="AC53" s="22">
        <f t="shared" ref="AC53" si="45">AC26+AC30+AC33-AC34-AC51</f>
        <v>154.560400906507</v>
      </c>
      <c r="AD53" s="22"/>
    </row>
    <row r="54" spans="1:30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</row>
    <row r="56" spans="1:30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</row>
    <row r="57" spans="1:30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</row>
    <row r="58" spans="1:3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</row>
    <row r="59" spans="1:3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</row>
    <row r="60" spans="1:3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</row>
    <row r="61" spans="1:30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</row>
    <row r="62" spans="1:30" ht="27.6">
      <c r="A62" s="29" t="s">
        <v>109</v>
      </c>
      <c r="B62" s="22">
        <f t="shared" ref="B62:G62" si="46">B53-B57+B58-B59+B60</f>
        <v>131.54121254719666</v>
      </c>
      <c r="C62" s="22">
        <f t="shared" si="46"/>
        <v>125.04121254719666</v>
      </c>
      <c r="D62" s="22">
        <f t="shared" si="46"/>
        <v>119.84121254719665</v>
      </c>
      <c r="E62" s="22">
        <f t="shared" si="46"/>
        <v>126.93121254719665</v>
      </c>
      <c r="F62" s="22">
        <f t="shared" si="46"/>
        <v>120.22121254719664</v>
      </c>
      <c r="G62" s="76">
        <f t="shared" si="46"/>
        <v>131.47121254719667</v>
      </c>
      <c r="H62" s="76">
        <f t="shared" ref="H62:I62" si="47">H53-H57+H58-H59+H60</f>
        <v>124.49121254719665</v>
      </c>
      <c r="I62" s="76">
        <f t="shared" si="47"/>
        <v>118.46121254719665</v>
      </c>
      <c r="J62" s="22">
        <f>J53-J57+J58-J59+J60</f>
        <v>130.74121254719665</v>
      </c>
      <c r="K62" s="22">
        <f t="shared" ref="K62:L62" si="48">K53-K57+K58-K59+K60</f>
        <v>122.97121254719667</v>
      </c>
      <c r="L62" s="22">
        <f t="shared" si="48"/>
        <v>116.84121254719665</v>
      </c>
      <c r="M62" s="22">
        <f>M53-M57+M58-M59+M60</f>
        <v>126.41190068970607</v>
      </c>
      <c r="N62" s="22">
        <f t="shared" ref="N62:O62" si="49">N53-N57+N58-N59+N60</f>
        <v>118.87190068970608</v>
      </c>
      <c r="O62" s="22">
        <f t="shared" si="49"/>
        <v>113.93190068970608</v>
      </c>
      <c r="P62" s="22">
        <f>P53-P57+P58-P59+P60</f>
        <v>132.14121254719666</v>
      </c>
      <c r="Q62" s="22">
        <f t="shared" ref="Q62:R62" si="50">Q53-Q57+Q58-Q59+Q60</f>
        <v>124.64121254719666</v>
      </c>
      <c r="R62" s="22">
        <f t="shared" si="50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51">W53-W57+W58-W59+W60</f>
        <v>130.78040090650703</v>
      </c>
      <c r="X62" s="22">
        <f t="shared" si="51"/>
        <v>127.08040090650704</v>
      </c>
      <c r="Y62" s="22">
        <f>Y53-Y57+Y58-Y59+Y60</f>
        <v>129.75121254719664</v>
      </c>
      <c r="Z62" s="22">
        <f t="shared" ref="Z62:AA62" si="52">Z53-Z57+Z58-Z59+Z60</f>
        <v>122.21121254719665</v>
      </c>
      <c r="AA62" s="22">
        <f t="shared" si="52"/>
        <v>116.53121254719665</v>
      </c>
      <c r="AB62" s="22">
        <f>AB53-AB57+AB58-AB59+AB60</f>
        <v>130.03040090650703</v>
      </c>
      <c r="AC62" s="22">
        <f t="shared" ref="AC62" si="53">AC53-AC57+AC58-AC59+AC60</f>
        <v>123.83040090650701</v>
      </c>
      <c r="AD62" s="22"/>
    </row>
    <row r="63" spans="1:30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</row>
    <row r="64" spans="1:30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</row>
    <row r="65" spans="1:30">
      <c r="A65" s="29" t="s">
        <v>98</v>
      </c>
      <c r="B65" s="22">
        <f t="shared" ref="B65:I65" si="54">B17-B23-B51+B21+B33</f>
        <v>153.50000000000003</v>
      </c>
      <c r="C65" s="22">
        <f t="shared" si="54"/>
        <v>150.00000000000003</v>
      </c>
      <c r="D65" s="22">
        <f t="shared" si="54"/>
        <v>144.80000000000001</v>
      </c>
      <c r="E65" s="22">
        <f t="shared" si="54"/>
        <v>151.84000000000003</v>
      </c>
      <c r="F65" s="22">
        <f t="shared" si="54"/>
        <v>148.13000000000002</v>
      </c>
      <c r="G65" s="76">
        <f t="shared" si="54"/>
        <v>153.43000000000004</v>
      </c>
      <c r="H65" s="76">
        <f t="shared" si="54"/>
        <v>149.45000000000002</v>
      </c>
      <c r="I65" s="76">
        <f t="shared" si="54"/>
        <v>143.42000000000002</v>
      </c>
      <c r="J65" s="22">
        <f t="shared" ref="J65:O65" si="55">J17-J23-J51+J21+J33</f>
        <v>152.70000000000002</v>
      </c>
      <c r="K65" s="22">
        <f t="shared" si="55"/>
        <v>147.93000000000004</v>
      </c>
      <c r="L65" s="22">
        <f t="shared" si="55"/>
        <v>141.80000000000001</v>
      </c>
      <c r="M65" s="22">
        <f t="shared" si="55"/>
        <v>151.02068814250944</v>
      </c>
      <c r="N65" s="22">
        <f t="shared" si="55"/>
        <v>146.48068814250945</v>
      </c>
      <c r="O65" s="22">
        <f t="shared" si="55"/>
        <v>141.54068814250945</v>
      </c>
      <c r="P65" s="22">
        <f t="shared" ref="P65:U65" si="56">P17-P23-P51+P21+P33</f>
        <v>154.10000000000002</v>
      </c>
      <c r="Q65" s="22">
        <f t="shared" si="56"/>
        <v>149.60000000000002</v>
      </c>
      <c r="R65" s="22">
        <f t="shared" si="56"/>
        <v>144.40000000000003</v>
      </c>
      <c r="S65" s="22">
        <f t="shared" si="56"/>
        <v>154.00000000000003</v>
      </c>
      <c r="T65" s="22">
        <f t="shared" si="56"/>
        <v>151.50000000000003</v>
      </c>
      <c r="U65" s="22">
        <f t="shared" si="56"/>
        <v>148.50000000000003</v>
      </c>
      <c r="V65" s="22">
        <f t="shared" ref="V65:AA65" si="57">V17-V23-V51+V21+V33</f>
        <v>158.5391883593104</v>
      </c>
      <c r="W65" s="22">
        <f t="shared" si="57"/>
        <v>155.73918835931039</v>
      </c>
      <c r="X65" s="22">
        <f t="shared" si="57"/>
        <v>152.0391883593104</v>
      </c>
      <c r="Y65" s="22">
        <f t="shared" si="57"/>
        <v>151.71</v>
      </c>
      <c r="Z65" s="22">
        <f t="shared" si="57"/>
        <v>147.17000000000002</v>
      </c>
      <c r="AA65" s="22">
        <f t="shared" si="57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55" zoomScaleNormal="55" workbookViewId="0">
      <pane xSplit="1" ySplit="1" topLeftCell="P44" activePane="bottomRight" state="frozen"/>
      <selection pane="topRight"/>
      <selection pane="bottomLeft"/>
      <selection pane="bottomRight" activeCell="AB2" sqref="AB1:AD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3.09765625" style="1" bestFit="1" customWidth="1"/>
    <col min="17" max="18" width="15.69921875" style="1" bestFit="1" customWidth="1"/>
    <col min="19" max="19" width="21.69921875" style="1" customWidth="1"/>
    <col min="20" max="20" width="18.59765625" style="1" customWidth="1"/>
    <col min="21" max="21" width="18.0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8.296875" style="1" customWidth="1"/>
    <col min="31" max="16384" width="9" style="1"/>
  </cols>
  <sheetData>
    <row r="1" spans="1:30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</row>
    <row r="2" spans="1:3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</row>
    <row r="3" spans="1:3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</row>
    <row r="4" spans="1:3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</row>
    <row r="5" spans="1:3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</row>
    <row r="6" spans="1:3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</row>
    <row r="7" spans="1: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</row>
    <row r="8" spans="1:30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</row>
    <row r="9" spans="1:30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</row>
    <row r="10" spans="1:3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</row>
    <row r="11" spans="1:30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</row>
    <row r="13" spans="1:3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</row>
    <row r="14" spans="1:3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</row>
    <row r="15" spans="1:3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</row>
    <row r="16" spans="1:30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</row>
    <row r="17" spans="1:30" ht="27.6">
      <c r="A17" s="7" t="s">
        <v>35</v>
      </c>
      <c r="B17" s="12">
        <f t="shared" ref="B17:I17" si="4">B15+10*LOG10(B42/1000000)</f>
        <v>44.126050015345747</v>
      </c>
      <c r="C17" s="12">
        <f t="shared" si="4"/>
        <v>44.126050015345747</v>
      </c>
      <c r="D17" s="12">
        <f t="shared" si="4"/>
        <v>44.126050015345747</v>
      </c>
      <c r="E17" s="12">
        <f t="shared" si="4"/>
        <v>44.245042248342827</v>
      </c>
      <c r="F17" s="12">
        <f t="shared" si="4"/>
        <v>44.245042248342827</v>
      </c>
      <c r="G17" s="71">
        <f t="shared" si="4"/>
        <v>44.126050015345747</v>
      </c>
      <c r="H17" s="71">
        <f t="shared" si="4"/>
        <v>44.126050015345747</v>
      </c>
      <c r="I17" s="71">
        <f t="shared" si="4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5">M15+10*LOG10(M42/1000000)</f>
        <v>45.09515014542631</v>
      </c>
      <c r="N17" s="12">
        <f t="shared" si="5"/>
        <v>45.09515014542631</v>
      </c>
      <c r="O17" s="12">
        <f t="shared" si="5"/>
        <v>45.09515014542631</v>
      </c>
      <c r="P17" s="12">
        <f t="shared" ref="P17:U17" si="6">P15+10*LOG10(P42/1000000)</f>
        <v>44.126050015345747</v>
      </c>
      <c r="Q17" s="12">
        <f t="shared" si="6"/>
        <v>44.126050015345747</v>
      </c>
      <c r="R17" s="12">
        <f t="shared" si="6"/>
        <v>44.126050015345747</v>
      </c>
      <c r="S17" s="8">
        <f t="shared" si="6"/>
        <v>44.126050015345747</v>
      </c>
      <c r="T17" s="8">
        <f t="shared" si="6"/>
        <v>44.126050015345747</v>
      </c>
      <c r="U17" s="8">
        <f t="shared" si="6"/>
        <v>44.126050015345747</v>
      </c>
      <c r="V17" s="8">
        <f t="shared" ref="V17:AA17" si="7">V15+10*LOG10(V42/1000000)</f>
        <v>44.245042248342827</v>
      </c>
      <c r="W17" s="8">
        <f t="shared" si="7"/>
        <v>44.245042248342827</v>
      </c>
      <c r="X17" s="8">
        <f t="shared" si="7"/>
        <v>44.245042248342827</v>
      </c>
      <c r="Y17" s="12">
        <f t="shared" si="7"/>
        <v>44.126050015345747</v>
      </c>
      <c r="Z17" s="12">
        <f t="shared" si="7"/>
        <v>44.126050015345747</v>
      </c>
      <c r="AA17" s="12">
        <f t="shared" si="7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</row>
    <row r="18" spans="1:30" ht="41.4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</row>
    <row r="19" spans="1:3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</row>
    <row r="20" spans="1:30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</row>
    <row r="21" spans="1:30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</row>
    <row r="22" spans="1:3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</row>
    <row r="23" spans="1:3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</row>
    <row r="24" spans="1:30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</row>
    <row r="25" spans="1:3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</row>
    <row r="26" spans="1:30">
      <c r="A26" s="7" t="s">
        <v>51</v>
      </c>
      <c r="B26" s="12">
        <f t="shared" ref="B26:I26" si="13">B17+B18+B21-B23-B24</f>
        <v>61.89726256254238</v>
      </c>
      <c r="C26" s="12">
        <f t="shared" si="13"/>
        <v>61.89726256254238</v>
      </c>
      <c r="D26" s="12">
        <f t="shared" si="13"/>
        <v>61.89726256254238</v>
      </c>
      <c r="E26" s="12">
        <f t="shared" si="13"/>
        <v>52.67625479553945</v>
      </c>
      <c r="F26" s="12">
        <f t="shared" si="13"/>
        <v>52.67625479553945</v>
      </c>
      <c r="G26" s="71">
        <f t="shared" si="13"/>
        <v>61.89726256254238</v>
      </c>
      <c r="H26" s="71">
        <f t="shared" si="13"/>
        <v>61.89726256254238</v>
      </c>
      <c r="I26" s="71">
        <f t="shared" si="13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4">M17+M18+M21-M23-M24</f>
        <v>59.267862475822</v>
      </c>
      <c r="N26" s="12">
        <f t="shared" si="14"/>
        <v>59.267862475822</v>
      </c>
      <c r="O26" s="12">
        <f t="shared" si="14"/>
        <v>59.267862475822</v>
      </c>
      <c r="P26" s="12">
        <f t="shared" ref="P26:U26" si="15">P17+P18+P21-P23-P24</f>
        <v>61.89726256254238</v>
      </c>
      <c r="Q26" s="12">
        <f t="shared" si="15"/>
        <v>61.89726256254238</v>
      </c>
      <c r="R26" s="12">
        <f t="shared" si="15"/>
        <v>61.89726256254238</v>
      </c>
      <c r="S26" s="8">
        <f t="shared" si="15"/>
        <v>63.89726256254238</v>
      </c>
      <c r="T26" s="8">
        <f t="shared" si="15"/>
        <v>63.89726256254238</v>
      </c>
      <c r="U26" s="8">
        <f t="shared" si="15"/>
        <v>63.89726256254238</v>
      </c>
      <c r="V26" s="8">
        <f t="shared" ref="V26:AA26" si="16">V17+V18+V21-V23-V24</f>
        <v>69.06625479553945</v>
      </c>
      <c r="W26" s="8">
        <f t="shared" si="16"/>
        <v>69.06625479553945</v>
      </c>
      <c r="X26" s="8">
        <f t="shared" si="16"/>
        <v>69.06625479553945</v>
      </c>
      <c r="Y26" s="12">
        <f t="shared" si="16"/>
        <v>61.89726256254238</v>
      </c>
      <c r="Z26" s="12">
        <f t="shared" si="16"/>
        <v>61.89726256254238</v>
      </c>
      <c r="AA26" s="12">
        <f t="shared" si="16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</row>
    <row r="27" spans="1:30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</row>
    <row r="29" spans="1:3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</row>
    <row r="30" spans="1:30" ht="41.4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</row>
    <row r="31" spans="1:3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</row>
    <row r="32" spans="1:30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</row>
    <row r="33" spans="1:30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</row>
    <row r="34" spans="1:30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</row>
    <row r="35" spans="1:3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</row>
    <row r="36" spans="1:3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</row>
    <row r="37" spans="1:30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</row>
    <row r="38" spans="1:30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</row>
    <row r="39" spans="1:30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</row>
    <row r="40" spans="1:30" ht="27.6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22">10*LOG10(10^((M35+M36)/10)+10^(M38/10))</f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</row>
    <row r="41" spans="1:30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</row>
    <row r="42" spans="1:30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25">36*360*1000</f>
        <v>12960000</v>
      </c>
      <c r="I42" s="74">
        <f t="shared" si="25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26">45*360*1000</f>
        <v>16200000</v>
      </c>
      <c r="O42" s="16">
        <f t="shared" si="26"/>
        <v>16200000</v>
      </c>
      <c r="P42" s="16">
        <f>36*360*1000</f>
        <v>12960000</v>
      </c>
      <c r="Q42" s="16">
        <f t="shared" ref="Q42:R42" si="27">36*360*1000</f>
        <v>12960000</v>
      </c>
      <c r="R42" s="16">
        <f t="shared" si="27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28">37*360*1000</f>
        <v>13320000</v>
      </c>
      <c r="X42" s="16">
        <f t="shared" si="28"/>
        <v>13320000</v>
      </c>
      <c r="Y42" s="16">
        <f>36*360*1000</f>
        <v>12960000</v>
      </c>
      <c r="Z42" s="16">
        <f t="shared" ref="Z42:AA42" si="29">36*360*1000</f>
        <v>12960000</v>
      </c>
      <c r="AA42" s="16">
        <f t="shared" si="29"/>
        <v>12960000</v>
      </c>
      <c r="AB42" s="16">
        <f>14*360*1000</f>
        <v>5040000</v>
      </c>
      <c r="AC42" s="16">
        <f>14*360*1000</f>
        <v>5040000</v>
      </c>
      <c r="AD42" s="16"/>
    </row>
    <row r="43" spans="1: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</row>
    <row r="44" spans="1:30">
      <c r="A44" s="7" t="s">
        <v>72</v>
      </c>
      <c r="B44" s="12">
        <f t="shared" ref="B44:I44" si="30">B40+10*LOG10(B42)</f>
        <v>-95.873949984654288</v>
      </c>
      <c r="C44" s="12">
        <f t="shared" si="30"/>
        <v>-95.873949984654288</v>
      </c>
      <c r="D44" s="12">
        <f t="shared" si="30"/>
        <v>-95.873949984654288</v>
      </c>
      <c r="E44" s="12">
        <f t="shared" si="30"/>
        <v>-95.754957751657201</v>
      </c>
      <c r="F44" s="12">
        <f t="shared" si="30"/>
        <v>-95.754957751657201</v>
      </c>
      <c r="G44" s="71">
        <f t="shared" si="30"/>
        <v>-95.873949984654288</v>
      </c>
      <c r="H44" s="71">
        <f t="shared" si="30"/>
        <v>-95.873949984654288</v>
      </c>
      <c r="I44" s="71">
        <f t="shared" si="30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31">M40+10*LOG10(M42)</f>
        <v>-92.894038213884087</v>
      </c>
      <c r="N44" s="12">
        <f t="shared" si="31"/>
        <v>-92.894038213884087</v>
      </c>
      <c r="O44" s="12">
        <f t="shared" si="31"/>
        <v>-92.894038213884087</v>
      </c>
      <c r="P44" s="12">
        <f t="shared" ref="P44:U44" si="32">P40+10*LOG10(P42)</f>
        <v>-95.873949984654288</v>
      </c>
      <c r="Q44" s="12">
        <f t="shared" si="32"/>
        <v>-95.873949984654288</v>
      </c>
      <c r="R44" s="12">
        <f t="shared" si="32"/>
        <v>-95.873949984654288</v>
      </c>
      <c r="S44" s="8">
        <f t="shared" si="32"/>
        <v>-95.873949984654288</v>
      </c>
      <c r="T44" s="8">
        <f t="shared" si="32"/>
        <v>-95.873949984654288</v>
      </c>
      <c r="U44" s="8">
        <f t="shared" si="32"/>
        <v>-95.873949984654288</v>
      </c>
      <c r="V44" s="8">
        <f t="shared" ref="V44:AA44" si="33">V40+10*LOG10(V42)</f>
        <v>-93.744146110967563</v>
      </c>
      <c r="W44" s="8">
        <f t="shared" si="33"/>
        <v>-93.744146110967563</v>
      </c>
      <c r="X44" s="8">
        <f t="shared" si="33"/>
        <v>-93.744146110967563</v>
      </c>
      <c r="Y44" s="12">
        <f t="shared" si="33"/>
        <v>-95.873949984654288</v>
      </c>
      <c r="Z44" s="12">
        <f t="shared" si="33"/>
        <v>-95.873949984654288</v>
      </c>
      <c r="AA44" s="12">
        <f t="shared" si="33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</row>
    <row r="45" spans="1:30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</row>
    <row r="46" spans="1:30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</row>
    <row r="47" spans="1:3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</row>
    <row r="48" spans="1:30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</row>
    <row r="49" spans="1:3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</row>
    <row r="50" spans="1:30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</row>
    <row r="51" spans="1:30" ht="27.6">
      <c r="A51" s="7" t="s">
        <v>82</v>
      </c>
      <c r="B51" s="12">
        <f t="shared" ref="B51:I51" si="34">B44+B46+B47-B49</f>
        <v>-101.47394998465428</v>
      </c>
      <c r="C51" s="12">
        <f t="shared" si="34"/>
        <v>-98.773949984654294</v>
      </c>
      <c r="D51" s="12">
        <f t="shared" si="34"/>
        <v>-95.273949984654294</v>
      </c>
      <c r="E51" s="12">
        <f t="shared" si="34"/>
        <v>-106.29495775165719</v>
      </c>
      <c r="F51" s="12">
        <f t="shared" si="34"/>
        <v>-102.73495775165721</v>
      </c>
      <c r="G51" s="71">
        <f t="shared" si="34"/>
        <v>-104.34394998465429</v>
      </c>
      <c r="H51" s="71">
        <f t="shared" si="34"/>
        <v>-101.05394998465428</v>
      </c>
      <c r="I51" s="71">
        <f t="shared" si="34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35">M44+M46+M47-M49</f>
        <v>-100.37403821388409</v>
      </c>
      <c r="N51" s="12">
        <f t="shared" si="35"/>
        <v>-96.164038213884083</v>
      </c>
      <c r="O51" s="12">
        <f t="shared" si="35"/>
        <v>-91.504038213884087</v>
      </c>
      <c r="P51" s="12">
        <f t="shared" ref="P51:U51" si="36">P44+P46+P47-P49</f>
        <v>-104.37394998465429</v>
      </c>
      <c r="Q51" s="12">
        <f t="shared" si="36"/>
        <v>-100.47394998465428</v>
      </c>
      <c r="R51" s="12">
        <f t="shared" si="36"/>
        <v>-96.473949984654283</v>
      </c>
      <c r="S51" s="8">
        <f t="shared" si="36"/>
        <v>-100.27394998465429</v>
      </c>
      <c r="T51" s="8">
        <f t="shared" si="36"/>
        <v>-98.173949984654286</v>
      </c>
      <c r="U51" s="8">
        <f t="shared" si="36"/>
        <v>-94.973949984654283</v>
      </c>
      <c r="V51" s="8">
        <f t="shared" ref="V51:AA51" si="37">V44+V46+V47-V49</f>
        <v>-97.744146110967563</v>
      </c>
      <c r="W51" s="8">
        <f t="shared" si="37"/>
        <v>-95.244146110967563</v>
      </c>
      <c r="X51" s="8">
        <f t="shared" si="37"/>
        <v>-91.444146110967566</v>
      </c>
      <c r="Y51" s="12">
        <f t="shared" si="37"/>
        <v>-101.6939499846543</v>
      </c>
      <c r="Z51" s="12">
        <f t="shared" si="37"/>
        <v>-98.103949984654292</v>
      </c>
      <c r="AA51" s="12">
        <f t="shared" si="37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</row>
    <row r="52" spans="1:30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</row>
    <row r="53" spans="1:30" ht="27.6">
      <c r="A53" s="29" t="s">
        <v>85</v>
      </c>
      <c r="B53" s="22">
        <f t="shared" ref="B53:G53" si="38">B26+B30+B33-B34-B51</f>
        <v>162.37121254719665</v>
      </c>
      <c r="C53" s="22">
        <f t="shared" si="38"/>
        <v>156.67121254719666</v>
      </c>
      <c r="D53" s="22">
        <f t="shared" si="38"/>
        <v>153.17121254719666</v>
      </c>
      <c r="E53" s="22">
        <f t="shared" si="38"/>
        <v>157.97121254719664</v>
      </c>
      <c r="F53" s="22">
        <f t="shared" si="38"/>
        <v>151.41121254719667</v>
      </c>
      <c r="G53" s="76">
        <f t="shared" si="38"/>
        <v>165.24121254719665</v>
      </c>
      <c r="H53" s="76">
        <f t="shared" ref="H53:I53" si="39">H26+H30+H33-H34-H51</f>
        <v>158.95121254719666</v>
      </c>
      <c r="I53" s="76">
        <f t="shared" si="39"/>
        <v>155.05121254719666</v>
      </c>
      <c r="J53" s="22">
        <f>J26+J30+J33-J34-J51</f>
        <v>163.77121254719668</v>
      </c>
      <c r="K53" s="22">
        <f t="shared" ref="K53:O53" si="40">K26+K30+K33-K34-K51</f>
        <v>157.37121254719665</v>
      </c>
      <c r="L53" s="22">
        <f t="shared" si="40"/>
        <v>153.97121254719667</v>
      </c>
      <c r="M53" s="22">
        <f t="shared" si="40"/>
        <v>158.64190068970609</v>
      </c>
      <c r="N53" s="22">
        <f t="shared" si="40"/>
        <v>151.43190068970608</v>
      </c>
      <c r="O53" s="22">
        <f t="shared" si="40"/>
        <v>146.77190068970609</v>
      </c>
      <c r="P53" s="22">
        <f>P26+P30+P33-P34-P51</f>
        <v>165.27121254719668</v>
      </c>
      <c r="Q53" s="22">
        <f t="shared" ref="Q53:R53" si="41">Q26+Q30+Q33-Q34-Q51</f>
        <v>158.37121254719665</v>
      </c>
      <c r="R53" s="22">
        <f t="shared" si="41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42">W26+W30+W33-W34-W51</f>
        <v>160.31040090650703</v>
      </c>
      <c r="X53" s="22">
        <f t="shared" si="42"/>
        <v>156.51040090650702</v>
      </c>
      <c r="Y53" s="22">
        <f>Y26+Y30+Y33-Y34-Y51</f>
        <v>162.59121254719668</v>
      </c>
      <c r="Z53" s="22">
        <f t="shared" ref="Z53:AA53" si="43">Z26+Z30+Z33-Z34-Z51</f>
        <v>156.00121254719667</v>
      </c>
      <c r="AA53" s="22">
        <f t="shared" si="43"/>
        <v>151.88121254719667</v>
      </c>
      <c r="AB53" s="22">
        <f>AB26+AB30+AB33-AB34-AB51</f>
        <v>163.36040090650701</v>
      </c>
      <c r="AC53" s="22">
        <f t="shared" ref="AC53" si="44">AC26+AC30+AC33-AC34-AC51</f>
        <v>157.36040090650701</v>
      </c>
      <c r="AD53" s="22"/>
    </row>
    <row r="54" spans="1:30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</row>
    <row r="56" spans="1:30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</row>
    <row r="57" spans="1:30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</row>
    <row r="58" spans="1:3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</row>
    <row r="59" spans="1:3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</row>
    <row r="60" spans="1:3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</row>
    <row r="61" spans="1:30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</row>
    <row r="62" spans="1:30" ht="27.6">
      <c r="A62" s="29" t="s">
        <v>109</v>
      </c>
      <c r="B62" s="22">
        <f t="shared" ref="B62:G62" si="45">B53-B57+B58-B59+B60</f>
        <v>131.64121254719666</v>
      </c>
      <c r="C62" s="22">
        <f t="shared" si="45"/>
        <v>125.94121254719667</v>
      </c>
      <c r="D62" s="22">
        <f t="shared" si="45"/>
        <v>122.44121254719667</v>
      </c>
      <c r="E62" s="22">
        <f t="shared" si="45"/>
        <v>127.24121254719665</v>
      </c>
      <c r="F62" s="22">
        <f t="shared" si="45"/>
        <v>120.68121254719668</v>
      </c>
      <c r="G62" s="76">
        <f t="shared" si="45"/>
        <v>134.51121254719666</v>
      </c>
      <c r="H62" s="76">
        <f t="shared" ref="H62:I62" si="46">H53-H57+H58-H59+H60</f>
        <v>128.22121254719667</v>
      </c>
      <c r="I62" s="76">
        <f t="shared" si="46"/>
        <v>124.32121254719667</v>
      </c>
      <c r="J62" s="22">
        <f>J53-J57+J58-J59+J60</f>
        <v>133.04121254719669</v>
      </c>
      <c r="K62" s="22">
        <f t="shared" ref="K62:O62" si="47">K53-K57+K58-K59+K60</f>
        <v>126.64121254719666</v>
      </c>
      <c r="L62" s="22">
        <f t="shared" si="47"/>
        <v>123.24121254719668</v>
      </c>
      <c r="M62" s="22">
        <f t="shared" si="47"/>
        <v>127.9119006897061</v>
      </c>
      <c r="N62" s="22">
        <f t="shared" si="47"/>
        <v>120.70190068970609</v>
      </c>
      <c r="O62" s="22">
        <f t="shared" si="47"/>
        <v>116.0419006897061</v>
      </c>
      <c r="P62" s="22">
        <f>P53-P57+P58-P59+P60</f>
        <v>134.54121254719669</v>
      </c>
      <c r="Q62" s="22">
        <f t="shared" ref="Q62:R62" si="48">Q53-Q57+Q58-Q59+Q60</f>
        <v>127.64121254719666</v>
      </c>
      <c r="R62" s="22">
        <f t="shared" si="48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49">W53-W57+W58-W59+W60</f>
        <v>129.58040090650704</v>
      </c>
      <c r="X62" s="22">
        <f t="shared" si="49"/>
        <v>125.78040090650703</v>
      </c>
      <c r="Y62" s="22">
        <f>Y53-Y57+Y58-Y59+Y60</f>
        <v>131.86121254719669</v>
      </c>
      <c r="Z62" s="22">
        <f t="shared" ref="Z62:AA62" si="50">Z53-Z57+Z58-Z59+Z60</f>
        <v>125.27121254719668</v>
      </c>
      <c r="AA62" s="22">
        <f t="shared" si="50"/>
        <v>121.15121254719668</v>
      </c>
      <c r="AB62" s="22">
        <f>AB53-AB57+AB58-AB59+AB60</f>
        <v>132.63040090650702</v>
      </c>
      <c r="AC62" s="22">
        <f t="shared" ref="AC62" si="51">AC53-AC57+AC58-AC59+AC60</f>
        <v>126.63040090650702</v>
      </c>
      <c r="AD62" s="22"/>
    </row>
    <row r="63" spans="1:30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</row>
    <row r="64" spans="1:30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</row>
    <row r="65" spans="1:30">
      <c r="A65" s="29" t="s">
        <v>98</v>
      </c>
      <c r="B65" s="22">
        <f t="shared" ref="B65:I65" si="52">B17-B23-B51+B21+B33</f>
        <v>153.60000000000002</v>
      </c>
      <c r="C65" s="22">
        <f t="shared" si="52"/>
        <v>150.90000000000003</v>
      </c>
      <c r="D65" s="22">
        <f t="shared" si="52"/>
        <v>147.40000000000003</v>
      </c>
      <c r="E65" s="22">
        <f t="shared" si="52"/>
        <v>152.15000000000003</v>
      </c>
      <c r="F65" s="22">
        <f t="shared" si="52"/>
        <v>148.59000000000003</v>
      </c>
      <c r="G65" s="76">
        <f t="shared" si="52"/>
        <v>156.47000000000003</v>
      </c>
      <c r="H65" s="76">
        <f t="shared" si="52"/>
        <v>153.18000000000004</v>
      </c>
      <c r="I65" s="76">
        <f t="shared" si="52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53">M17-M23-M51+M21+M33</f>
        <v>152.52068814250947</v>
      </c>
      <c r="N65" s="22">
        <f t="shared" si="53"/>
        <v>148.31068814250946</v>
      </c>
      <c r="O65" s="22">
        <f t="shared" si="53"/>
        <v>143.65068814250947</v>
      </c>
      <c r="P65" s="22">
        <f t="shared" ref="P65:U65" si="54">P17-P23-P51+P21+P33</f>
        <v>156.50000000000003</v>
      </c>
      <c r="Q65" s="22">
        <f t="shared" si="54"/>
        <v>152.60000000000002</v>
      </c>
      <c r="R65" s="22">
        <f t="shared" si="54"/>
        <v>148.60000000000002</v>
      </c>
      <c r="S65" s="22">
        <f t="shared" si="54"/>
        <v>154.40000000000003</v>
      </c>
      <c r="T65" s="22">
        <f t="shared" si="54"/>
        <v>152.30000000000004</v>
      </c>
      <c r="U65" s="22">
        <f t="shared" si="54"/>
        <v>149.10000000000002</v>
      </c>
      <c r="V65" s="22">
        <f t="shared" ref="V65:AA65" si="55">V17-V23-V51+V21+V33</f>
        <v>157.0391883593104</v>
      </c>
      <c r="W65" s="22">
        <f t="shared" si="55"/>
        <v>154.5391883593104</v>
      </c>
      <c r="X65" s="22">
        <f t="shared" si="55"/>
        <v>150.73918835931039</v>
      </c>
      <c r="Y65" s="22">
        <f t="shared" si="55"/>
        <v>153.82000000000005</v>
      </c>
      <c r="Z65" s="22">
        <f t="shared" si="55"/>
        <v>150.23000000000005</v>
      </c>
      <c r="AA65" s="22">
        <f t="shared" si="55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55" zoomScaleNormal="55" workbookViewId="0">
      <pane xSplit="1" ySplit="1" topLeftCell="H14" activePane="bottomRight" state="frozen"/>
      <selection pane="topRight"/>
      <selection pane="bottomLeft"/>
      <selection pane="bottomRight" activeCell="X13" sqref="X13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20.19921875" style="1" customWidth="1"/>
    <col min="15" max="15" width="19.6992187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1" width="18.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</row>
    <row r="9" spans="1:21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</row>
    <row r="14" spans="1:2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  <c r="T26" s="8">
        <f>T17+T18+T21-T23-T24</f>
        <v>22</v>
      </c>
      <c r="U26" s="8">
        <f>U17+U18+U21-U23-U24</f>
        <v>19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</row>
    <row r="29" spans="1:2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</row>
    <row r="30" spans="1:21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</row>
    <row r="33" spans="1:21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</row>
    <row r="34" spans="1:2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</row>
    <row r="37" spans="1:21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</row>
    <row r="38" spans="1:21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</row>
    <row r="39" spans="1:21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7.6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</row>
    <row r="41" spans="1:2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</row>
    <row r="42" spans="1:21">
      <c r="A42" s="33" t="s">
        <v>70</v>
      </c>
      <c r="B42" s="12">
        <f t="shared" ref="B42:G42" si="12">2*360*1000</f>
        <v>720000</v>
      </c>
      <c r="C42" s="12">
        <f t="shared" si="12"/>
        <v>720000</v>
      </c>
      <c r="D42" s="12">
        <f t="shared" si="12"/>
        <v>720000</v>
      </c>
      <c r="E42" s="12">
        <f t="shared" si="12"/>
        <v>720000</v>
      </c>
      <c r="F42" s="71">
        <f t="shared" si="12"/>
        <v>720000</v>
      </c>
      <c r="G42" s="71">
        <f t="shared" si="12"/>
        <v>720000</v>
      </c>
      <c r="H42" s="12">
        <f>2*360*1000</f>
        <v>720000</v>
      </c>
      <c r="I42" s="12">
        <f>2*360*1000</f>
        <v>720000</v>
      </c>
      <c r="J42" s="12">
        <f t="shared" ref="J42:K42" si="13">2*360*1000</f>
        <v>720000</v>
      </c>
      <c r="K42" s="12">
        <f t="shared" si="13"/>
        <v>720000</v>
      </c>
      <c r="L42" s="12">
        <f t="shared" ref="L42:Q42" si="14">2*360*1000</f>
        <v>720000</v>
      </c>
      <c r="M42" s="12">
        <f t="shared" si="14"/>
        <v>720000</v>
      </c>
      <c r="N42" s="8">
        <f t="shared" si="14"/>
        <v>720000</v>
      </c>
      <c r="O42" s="8">
        <f t="shared" si="14"/>
        <v>720000</v>
      </c>
      <c r="P42" s="8">
        <f t="shared" si="14"/>
        <v>720000</v>
      </c>
      <c r="Q42" s="8">
        <f t="shared" si="14"/>
        <v>720000</v>
      </c>
      <c r="R42" s="12">
        <f>2*360*1000</f>
        <v>720000</v>
      </c>
      <c r="S42" s="12">
        <f>2*360*1000</f>
        <v>720000</v>
      </c>
      <c r="T42" s="12">
        <f>2*360*1000</f>
        <v>720000</v>
      </c>
      <c r="U42" s="12">
        <f>2*360*1000</f>
        <v>720000</v>
      </c>
    </row>
    <row r="43" spans="1:21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</row>
    <row r="44" spans="1:21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1">
        <f t="shared" si="15"/>
        <v>-110.42667503568734</v>
      </c>
      <c r="G44" s="71">
        <f t="shared" si="1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6">J40+10*LOG10(J42)</f>
        <v>-105.46019811105398</v>
      </c>
      <c r="K44" s="12">
        <f t="shared" si="16"/>
        <v>-105.46019811105398</v>
      </c>
      <c r="L44" s="12">
        <f t="shared" ref="L44:Q44" si="17">L40+10*LOG10(L42)</f>
        <v>-110.42667503568734</v>
      </c>
      <c r="M44" s="12">
        <f t="shared" si="17"/>
        <v>-110.42667503568734</v>
      </c>
      <c r="N44" s="8">
        <f t="shared" si="17"/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>R40+10*LOG10(R42)</f>
        <v>-110.42667503568734</v>
      </c>
      <c r="S44" s="12">
        <f>S40+10*LOG10(S42)</f>
        <v>-110.42667503568734</v>
      </c>
      <c r="T44" s="12">
        <f>T40+10*LOG10(T42)</f>
        <v>-105.46019811105398</v>
      </c>
      <c r="U44" s="12">
        <f>U40+10*LOG10(U42)</f>
        <v>-105.46019811105398</v>
      </c>
    </row>
    <row r="45" spans="1:21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</row>
    <row r="46" spans="1:21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7.6">
      <c r="A51" s="7" t="s">
        <v>82</v>
      </c>
      <c r="B51" s="12">
        <f t="shared" ref="B51:G51" si="18">B44+B46+B47-B49</f>
        <v>-110.22667503568734</v>
      </c>
      <c r="C51" s="12">
        <f t="shared" si="18"/>
        <v>-110.22667503568734</v>
      </c>
      <c r="D51" s="12">
        <f t="shared" si="18"/>
        <v>-115.63667503568733</v>
      </c>
      <c r="E51" s="12">
        <f t="shared" si="18"/>
        <v>-115.63667503568733</v>
      </c>
      <c r="F51" s="71">
        <f t="shared" si="18"/>
        <v>-114.93667503568734</v>
      </c>
      <c r="G51" s="71">
        <f t="shared" si="18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9">J44+J46+J47-J49</f>
        <v>-105.68019811105398</v>
      </c>
      <c r="K51" s="12">
        <f t="shared" si="19"/>
        <v>-105.54019811105398</v>
      </c>
      <c r="L51" s="12">
        <f t="shared" ref="L51:Q51" si="20">L44+L46+L47-L49</f>
        <v>-114.84667503568734</v>
      </c>
      <c r="M51" s="12">
        <f t="shared" si="20"/>
        <v>-114.84667503568734</v>
      </c>
      <c r="N51" s="8">
        <f t="shared" si="20"/>
        <v>-113.72667503568734</v>
      </c>
      <c r="O51" s="8">
        <f t="shared" si="20"/>
        <v>-113.72667503568734</v>
      </c>
      <c r="P51" s="8">
        <f t="shared" si="20"/>
        <v>-100.96019811105398</v>
      </c>
      <c r="Q51" s="8">
        <f t="shared" si="20"/>
        <v>-100.96019811105398</v>
      </c>
      <c r="R51" s="12">
        <f>R44+R46+R47-R49</f>
        <v>-114.87667503568734</v>
      </c>
      <c r="S51" s="12">
        <f>S44+S46+S47-S49</f>
        <v>-114.87667503568734</v>
      </c>
      <c r="T51" s="12">
        <f>T44+T46+T47-T49</f>
        <v>-109.06019811105398</v>
      </c>
      <c r="U51" s="12">
        <f>U44+U46+U47-U49</f>
        <v>-109.06019811105398</v>
      </c>
    </row>
    <row r="52" spans="1:21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</row>
    <row r="53" spans="1:21" ht="27.6">
      <c r="A53" s="29" t="s">
        <v>85</v>
      </c>
      <c r="B53" s="22">
        <f t="shared" ref="B53:G53" si="21">B26+B30+B33-B34-B51</f>
        <v>149.99788758288395</v>
      </c>
      <c r="C53" s="22">
        <f t="shared" si="21"/>
        <v>146.99788758288395</v>
      </c>
      <c r="D53" s="22">
        <f t="shared" si="21"/>
        <v>156.49788758288395</v>
      </c>
      <c r="E53" s="22">
        <f t="shared" si="21"/>
        <v>153.49788758288395</v>
      </c>
      <c r="F53" s="76">
        <f t="shared" si="21"/>
        <v>154.70788758288398</v>
      </c>
      <c r="G53" s="76">
        <f t="shared" si="21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2">J26+J30+J33-J34-J51</f>
        <v>152.50291044144967</v>
      </c>
      <c r="K53" s="22">
        <f t="shared" si="22"/>
        <v>149.36291044144969</v>
      </c>
      <c r="L53" s="22">
        <f t="shared" ref="L53:Q53" si="23">L26+L30+L33-L34-L51</f>
        <v>154.61788758288395</v>
      </c>
      <c r="M53" s="22">
        <f t="shared" si="23"/>
        <v>151.61788758288395</v>
      </c>
      <c r="N53" s="22">
        <f t="shared" si="23"/>
        <v>153.49788758288395</v>
      </c>
      <c r="O53" s="22">
        <f t="shared" si="23"/>
        <v>150.49788758288395</v>
      </c>
      <c r="P53" s="22">
        <f t="shared" si="23"/>
        <v>147.78141065825059</v>
      </c>
      <c r="Q53" s="22">
        <f t="shared" si="23"/>
        <v>144.78141065825059</v>
      </c>
      <c r="R53" s="22">
        <f>R26+R30+R33-R34-R51</f>
        <v>154.64788758288398</v>
      </c>
      <c r="S53" s="22">
        <f>S26+S30+S33-S34-S51</f>
        <v>151.64788758288398</v>
      </c>
      <c r="T53" s="22">
        <f>T26+T30+T33-T34-T51</f>
        <v>152.8314106582506</v>
      </c>
      <c r="U53" s="22">
        <f>U26+U30+U33-U34-U51</f>
        <v>149.8314106582506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</row>
    <row r="57" spans="1:21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</row>
    <row r="62" spans="1:21" ht="27.6">
      <c r="A62" s="29" t="s">
        <v>109</v>
      </c>
      <c r="B62" s="22">
        <f t="shared" ref="B62:G62" si="24">B53-B57+B58-B59+B60</f>
        <v>119.26788758288396</v>
      </c>
      <c r="C62" s="22">
        <f t="shared" si="24"/>
        <v>116.26788758288396</v>
      </c>
      <c r="D62" s="22">
        <f t="shared" si="24"/>
        <v>125.76788758288396</v>
      </c>
      <c r="E62" s="22">
        <f t="shared" si="24"/>
        <v>122.76788758288396</v>
      </c>
      <c r="F62" s="76">
        <f t="shared" si="24"/>
        <v>123.97788758288399</v>
      </c>
      <c r="G62" s="76">
        <f t="shared" si="24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25">J53-J57+J58-J59+J60</f>
        <v>121.77291044144968</v>
      </c>
      <c r="K62" s="22">
        <f t="shared" si="25"/>
        <v>118.6329104414497</v>
      </c>
      <c r="L62" s="22">
        <f t="shared" ref="L62:Q62" si="26">L53-L57+L58-L59+L60</f>
        <v>123.88788758288396</v>
      </c>
      <c r="M62" s="22">
        <f t="shared" si="26"/>
        <v>120.88788758288396</v>
      </c>
      <c r="N62" s="22">
        <f t="shared" si="26"/>
        <v>122.76788758288396</v>
      </c>
      <c r="O62" s="22">
        <f t="shared" si="26"/>
        <v>119.76788758288396</v>
      </c>
      <c r="P62" s="22">
        <f t="shared" si="26"/>
        <v>117.0514106582506</v>
      </c>
      <c r="Q62" s="22">
        <f t="shared" si="26"/>
        <v>114.0514106582506</v>
      </c>
      <c r="R62" s="22">
        <f>R53-R57+R58-R59+R60</f>
        <v>123.91788758288399</v>
      </c>
      <c r="S62" s="22">
        <f>S53-S57+S58-S59+S60</f>
        <v>120.91788758288399</v>
      </c>
      <c r="T62" s="22">
        <f>T53-T57+T58-T59+T60</f>
        <v>122.10141065825061</v>
      </c>
      <c r="U62" s="22">
        <f>U53-U57+U58-U59+U60</f>
        <v>119.10141065825061</v>
      </c>
    </row>
    <row r="63" spans="1:21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</row>
    <row r="65" spans="1:21">
      <c r="A65" s="29" t="s">
        <v>98</v>
      </c>
      <c r="B65" s="22">
        <f t="shared" ref="B65:G65" si="27">B17-B23-B51+B21+B33</f>
        <v>141.22667503568732</v>
      </c>
      <c r="C65" s="22">
        <f t="shared" si="27"/>
        <v>141.22667503568732</v>
      </c>
      <c r="D65" s="22">
        <f t="shared" si="27"/>
        <v>150.67667503568734</v>
      </c>
      <c r="E65" s="22">
        <f t="shared" si="27"/>
        <v>150.67667503568734</v>
      </c>
      <c r="F65" s="76">
        <f t="shared" si="27"/>
        <v>145.93667503568736</v>
      </c>
      <c r="G65" s="76">
        <f t="shared" si="27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28">J17-J23-J51+J21+J33</f>
        <v>143.73169789425305</v>
      </c>
      <c r="K65" s="22">
        <f t="shared" si="28"/>
        <v>143.59169789425306</v>
      </c>
      <c r="L65" s="22">
        <f t="shared" ref="L65:Q65" si="29">L17-L23-L51+L21+L33</f>
        <v>145.84667503568733</v>
      </c>
      <c r="M65" s="22">
        <f t="shared" si="29"/>
        <v>145.84667503568733</v>
      </c>
      <c r="N65" s="22">
        <f t="shared" si="29"/>
        <v>144.72667503568732</v>
      </c>
      <c r="O65" s="22">
        <f t="shared" si="29"/>
        <v>144.72667503568732</v>
      </c>
      <c r="P65" s="22">
        <f t="shared" si="29"/>
        <v>139.010198111054</v>
      </c>
      <c r="Q65" s="22">
        <f t="shared" si="29"/>
        <v>139.010198111054</v>
      </c>
      <c r="R65" s="22">
        <f>R17-R23-R51+R21+R33</f>
        <v>145.87667503568736</v>
      </c>
      <c r="S65" s="22">
        <f>S17-S23-S51+S21+S33</f>
        <v>145.87667503568736</v>
      </c>
      <c r="T65" s="22">
        <f>T17-T23-T51+T21+T33</f>
        <v>144.06019811105398</v>
      </c>
      <c r="U65" s="22">
        <f>U17-U23-U51+U21+U33</f>
        <v>144.06019811105398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E2" sqref="E1:G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7" width="16.09765625" style="1" customWidth="1"/>
    <col min="8" max="16384" width="9" style="1"/>
  </cols>
  <sheetData>
    <row r="1" spans="1:7" ht="14.25" customHeight="1">
      <c r="A1" s="3"/>
      <c r="B1" s="90" t="s">
        <v>119</v>
      </c>
      <c r="C1" s="90"/>
      <c r="D1" s="90"/>
      <c r="E1" s="90" t="s">
        <v>136</v>
      </c>
      <c r="F1" s="90"/>
      <c r="G1" s="90"/>
    </row>
    <row r="2" spans="1: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</row>
    <row r="6" spans="1:7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</row>
    <row r="7" spans="1:7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</row>
    <row r="8" spans="1:7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</row>
    <row r="9" spans="1:7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</row>
    <row r="13" spans="1: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</row>
    <row r="14" spans="1:7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</row>
    <row r="15" spans="1:7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</row>
    <row r="16" spans="1:7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</row>
    <row r="17" spans="1:7" ht="27.6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</row>
    <row r="18" spans="1:7" ht="41.4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</row>
    <row r="19" spans="1:7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</row>
    <row r="20" spans="1:7" ht="41.4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</row>
    <row r="21" spans="1:7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  <c r="E21" s="16">
        <v>6</v>
      </c>
      <c r="F21" s="16">
        <v>6</v>
      </c>
      <c r="G21" s="16"/>
    </row>
    <row r="22" spans="1:7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</row>
    <row r="23" spans="1:7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</row>
    <row r="24" spans="1:7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</row>
    <row r="25" spans="1: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</row>
    <row r="26" spans="1:7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</row>
    <row r="29" spans="1:7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</row>
    <row r="30" spans="1:7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</row>
    <row r="31" spans="1:7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</row>
    <row r="32" spans="1:7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</row>
    <row r="33" spans="1:7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</row>
    <row r="34" spans="1:7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</row>
    <row r="35" spans="1:7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</row>
    <row r="37" spans="1:7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</row>
    <row r="38" spans="1:7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</row>
    <row r="39" spans="1:7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</row>
    <row r="40" spans="1:7" ht="27.6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</row>
    <row r="41" spans="1:7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</row>
    <row r="42" spans="1:7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  <c r="E42" s="16">
        <f>20*360*1000</f>
        <v>7200000</v>
      </c>
      <c r="F42" s="16">
        <f t="shared" ref="F42" si="2">20*360*1000</f>
        <v>7200000</v>
      </c>
      <c r="G42" s="16"/>
    </row>
    <row r="43" spans="1:7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</row>
    <row r="44" spans="1:7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</row>
    <row r="45" spans="1:7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</row>
    <row r="46" spans="1:7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</row>
    <row r="47" spans="1:7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</row>
    <row r="48" spans="1:7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</row>
    <row r="50" spans="1:7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</row>
    <row r="51" spans="1:7" ht="27.6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</row>
    <row r="52" spans="1:7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</row>
    <row r="53" spans="1:7" ht="27.6">
      <c r="A53" s="29" t="s">
        <v>85</v>
      </c>
      <c r="B53" s="22">
        <f>B26+B30+B33-B34-B51</f>
        <v>160.76190068970607</v>
      </c>
      <c r="C53" s="22">
        <f t="shared" ref="C53:D53" si="3">C26+C30+C33-C34-C51</f>
        <v>155.36190068970609</v>
      </c>
      <c r="D53" s="22">
        <f t="shared" si="3"/>
        <v>152.27190068970609</v>
      </c>
      <c r="E53" s="22">
        <f>E26+E30+E33-E34-E51</f>
        <v>163.84040090650703</v>
      </c>
      <c r="F53" s="22">
        <f t="shared" ref="F53" si="4">F26+F30+F33-F34-F51</f>
        <v>158.79040090650705</v>
      </c>
      <c r="G53" s="22"/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</row>
    <row r="56" spans="1:7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</row>
    <row r="57" spans="1:7" ht="27.6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</row>
    <row r="58" spans="1:7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</row>
    <row r="59" spans="1:7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</row>
    <row r="60" spans="1:7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</row>
    <row r="61" spans="1:7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</row>
    <row r="62" spans="1:7" ht="27.6">
      <c r="A62" s="29" t="s">
        <v>109</v>
      </c>
      <c r="B62" s="22">
        <f>B53-B57+B58-B59+B60</f>
        <v>126.95190068970606</v>
      </c>
      <c r="C62" s="22">
        <f t="shared" ref="C62:D62" si="5">C53-C57+C58-C59+C60</f>
        <v>121.55190068970609</v>
      </c>
      <c r="D62" s="22">
        <f t="shared" si="5"/>
        <v>118.46190068970608</v>
      </c>
      <c r="E62" s="22">
        <f>E53-E57+E58-E59+E60</f>
        <v>130.03040090650703</v>
      </c>
      <c r="F62" s="22">
        <f t="shared" ref="F62" si="6">F53-F57+F58-F59+F60</f>
        <v>124.98040090650704</v>
      </c>
      <c r="G62" s="22"/>
    </row>
    <row r="63" spans="1:7">
      <c r="C63" s="2"/>
      <c r="D63" s="2"/>
      <c r="E63" s="2"/>
      <c r="F63" s="2"/>
      <c r="G63" s="2"/>
    </row>
    <row r="64" spans="1:7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</row>
    <row r="65" spans="1:7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</row>
  </sheetData>
  <mergeCells count="2">
    <mergeCell ref="B1:D1"/>
    <mergeCell ref="E1:G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pane xSplit="1" ySplit="1" topLeftCell="B56" activePane="bottomRight" state="frozen"/>
      <selection pane="topRight"/>
      <selection pane="bottomLeft"/>
      <selection pane="bottomRight" activeCell="F2" sqref="F1:G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7" width="18" style="1" customWidth="1"/>
    <col min="8" max="16384" width="9" style="1"/>
  </cols>
  <sheetData>
    <row r="1" spans="1:7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</row>
    <row r="3" spans="1: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</row>
    <row r="7" spans="1:7" ht="27.6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</row>
    <row r="9" spans="1:7" ht="27.6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</row>
    <row r="10" spans="1:7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</row>
    <row r="13" spans="1:7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</row>
    <row r="14" spans="1:7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</row>
    <row r="15" spans="1:7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</row>
    <row r="17" spans="1: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</row>
    <row r="18" spans="1:7" ht="41.4">
      <c r="A18" s="14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  <c r="F18" s="12">
        <f>F19+10*LOG10(F12/F14)-F20</f>
        <v>0</v>
      </c>
      <c r="G18" s="12">
        <f>G19+10*LOG10(G12/G14)-G20</f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</row>
    <row r="20" spans="1:7" ht="41.4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</row>
    <row r="25" spans="1:7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  <c r="F25" s="8">
        <f>F17+F18+F21+F22-F24</f>
        <v>22</v>
      </c>
      <c r="G25" s="8">
        <f>G17+G18+G21+G22-G24</f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</row>
    <row r="29" spans="1:7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</row>
    <row r="30" spans="1:7" ht="41.4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8">
        <f>D31+10*LOG10(D28/D13)-D32</f>
        <v>12.771212547196624</v>
      </c>
      <c r="E30" s="8">
        <f>E31+10*LOG10(E28/E13)-E32</f>
        <v>12.771212547196624</v>
      </c>
      <c r="F30" s="12">
        <f>F31+10*LOG10(F28/F13)-F32</f>
        <v>12.771212547196624</v>
      </c>
      <c r="G30" s="12">
        <f>G31+10*LOG10(G28/G13)-G32</f>
        <v>12.771212547196624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</row>
    <row r="32" spans="1:7" ht="41.4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</row>
    <row r="33" spans="1:7" ht="27.6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</row>
    <row r="34" spans="1: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</row>
    <row r="38" spans="1:7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</row>
    <row r="39" spans="1:7" ht="27.6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  <c r="F39" s="12">
        <f>10*LOG10(10^((F35+F36)/10)+10^(F37/10))</f>
        <v>-160.9583889004532</v>
      </c>
      <c r="G39" s="12">
        <f>10*LOG10(10^((G35+G36)/10)+10^(G37/10))</f>
        <v>-160.9583889004532</v>
      </c>
    </row>
    <row r="40" spans="1:7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</row>
    <row r="41" spans="1:7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</row>
    <row r="42" spans="1:7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</row>
    <row r="43" spans="1:7">
      <c r="A43" s="7" t="s">
        <v>71</v>
      </c>
      <c r="B43" s="12">
        <f>B39+10*LOG10(B41)</f>
        <v>-94.603551432304087</v>
      </c>
      <c r="C43" s="12">
        <f>C39+10*LOG10(C41)</f>
        <v>-94.603551432304087</v>
      </c>
      <c r="D43" s="8">
        <f>D39+10*LOG10(D41)</f>
        <v>-105.46019811105398</v>
      </c>
      <c r="E43" s="8">
        <f>E39+10*LOG10(E41)</f>
        <v>-105.46019811105398</v>
      </c>
      <c r="F43" s="12">
        <f>F39+10*LOG10(F41)</f>
        <v>-97.613851388943885</v>
      </c>
      <c r="G43" s="12">
        <f>G39+10*LOG10(G41)</f>
        <v>-97.613851388943885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</row>
    <row r="45" spans="1:7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</row>
    <row r="46" spans="1:7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</row>
    <row r="48" spans="1: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</row>
    <row r="50" spans="1:7" ht="27.6">
      <c r="A50" s="7" t="s">
        <v>80</v>
      </c>
      <c r="B50" s="12">
        <f>B43+B45+B47-B48</f>
        <v>-102.85355143230409</v>
      </c>
      <c r="C50" s="12">
        <f>C43+C45+C47-C48</f>
        <v>-102.85355143230409</v>
      </c>
      <c r="D50" s="8">
        <f>D43+D45+D47-D48</f>
        <v>-103.46019811105398</v>
      </c>
      <c r="E50" s="8">
        <f>E43+E45+E47-E48</f>
        <v>-103.46019811105398</v>
      </c>
      <c r="F50" s="12">
        <f>F43+F45+F47-F48</f>
        <v>-114.85385138894388</v>
      </c>
      <c r="G50" s="12">
        <f>G43+G45+G47-G48</f>
        <v>-114.85385138894388</v>
      </c>
    </row>
    <row r="51" spans="1:7" ht="27.6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</row>
    <row r="52" spans="1:7" ht="27.6">
      <c r="A52" s="21" t="s">
        <v>83</v>
      </c>
      <c r="B52" s="22">
        <f>B25+B30+B33-B34-B50</f>
        <v>149.67626376269976</v>
      </c>
      <c r="C52" s="22">
        <f>C25+C30+C33-C34-C50</f>
        <v>146.67626376269976</v>
      </c>
      <c r="D52" s="22">
        <f>D25+D30+D33-D34-D50</f>
        <v>150.28141065825059</v>
      </c>
      <c r="E52" s="22">
        <f>E25+E30+E33-E34-E50</f>
        <v>147.28141065825059</v>
      </c>
      <c r="F52" s="22">
        <f>F25+F30+F33-F34-F50</f>
        <v>158.62506393614052</v>
      </c>
      <c r="G52" s="22">
        <f>G25+G30+G33-G34-G50</f>
        <v>155.62506393614052</v>
      </c>
    </row>
    <row r="53" spans="1:7" ht="27.6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</row>
    <row r="56" spans="1:7" ht="27.6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</row>
    <row r="57" spans="1:7" ht="27.6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</row>
    <row r="58" spans="1:7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</row>
    <row r="59" spans="1:7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</row>
    <row r="60" spans="1:7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</row>
    <row r="61" spans="1:7" ht="27.6">
      <c r="A61" s="21" t="s">
        <v>108</v>
      </c>
      <c r="B61" s="22">
        <f>B52-B56+B58-B59+B60</f>
        <v>115.86626376269976</v>
      </c>
      <c r="C61" s="22">
        <f>C52-C56+C58-C59+C60</f>
        <v>112.86626376269976</v>
      </c>
      <c r="D61" s="22">
        <f>D52-D56+D58-D59+D60</f>
        <v>119.1514106582506</v>
      </c>
      <c r="E61" s="22">
        <f>E52-E56+E58-E59+E60</f>
        <v>116.1514106582506</v>
      </c>
      <c r="F61" s="22">
        <f>F52-F56+F58-F59+F60</f>
        <v>124.81506393614052</v>
      </c>
      <c r="G61" s="22">
        <f>G52-G56+G58-G59+G60</f>
        <v>121.81506393614052</v>
      </c>
    </row>
    <row r="62" spans="1:7" ht="27.6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</row>
    <row r="63" spans="1:7">
      <c r="C63" s="2"/>
      <c r="E63" s="2"/>
      <c r="F63" s="2"/>
      <c r="G63" s="2"/>
    </row>
    <row r="64" spans="1:7">
      <c r="A64" s="21" t="s">
        <v>97</v>
      </c>
      <c r="B64" s="22">
        <f>B17+B22-B50+B21+B33</f>
        <v>140.90505121550314</v>
      </c>
      <c r="C64" s="22">
        <f>C17+C22-C50+C21+C33</f>
        <v>140.90505121550314</v>
      </c>
      <c r="D64" s="22">
        <f>D17+D22-D50+D21+D33</f>
        <v>141.510198111054</v>
      </c>
      <c r="E64" s="22">
        <f>E17+E22-E50+E21+E33</f>
        <v>141.510198111054</v>
      </c>
      <c r="F64" s="22">
        <f>F17+F22-F50+F21+F33</f>
        <v>149.85385138894389</v>
      </c>
      <c r="G64" s="22">
        <f>G17+G22-G50+G21+G33</f>
        <v>149.85385138894389</v>
      </c>
    </row>
    <row r="65" spans="1:7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</row>
  </sheetData>
  <mergeCells count="3">
    <mergeCell ref="B1:C1"/>
    <mergeCell ref="D1:E1"/>
    <mergeCell ref="F1:G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7" width="20.19921875" style="1" customWidth="1"/>
    <col min="8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7.6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7.6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7.6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7.6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27.6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7.6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zoomScale="70" zoomScaleNormal="70" workbookViewId="0">
      <pane xSplit="1" ySplit="1" topLeftCell="B41" activePane="bottomRight" state="frozen"/>
      <selection pane="topRight"/>
      <selection pane="bottomLeft"/>
      <selection pane="bottomRight" activeCell="AF9" sqref="AF9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19921875" style="1" bestFit="1" customWidth="1"/>
    <col min="18" max="19" width="15.59765625" style="1" bestFit="1" customWidth="1"/>
    <col min="20" max="20" width="16.19921875" style="1" customWidth="1"/>
    <col min="21" max="21" width="15" style="1" customWidth="1"/>
    <col min="22" max="22" width="15.5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31" width="15.5" style="1" customWidth="1"/>
    <col min="32" max="16384" width="9" style="1"/>
  </cols>
  <sheetData>
    <row r="1" spans="1:31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</row>
    <row r="2" spans="1:3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</row>
    <row r="3" spans="1:3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</row>
    <row r="4" spans="1:3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</row>
    <row r="6" spans="1:3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</row>
    <row r="7" spans="1:31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</row>
    <row r="8" spans="1:3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</row>
    <row r="9" spans="1:31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</row>
    <row r="11" spans="1:31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</row>
    <row r="13" spans="1:3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</row>
    <row r="14" spans="1:3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</row>
    <row r="15" spans="1:3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</row>
    <row r="16" spans="1:31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</row>
    <row r="17" spans="1:31" ht="27.6">
      <c r="A17" s="7" t="s">
        <v>35</v>
      </c>
      <c r="B17" s="12">
        <f t="shared" ref="B17:G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/>
      <c r="G17" s="12">
        <f t="shared" si="4"/>
        <v>45.375437381428746</v>
      </c>
      <c r="H17" s="71">
        <f t="shared" ref="H17:M17" si="5">H15+10*LOG10(H41/1000000)</f>
        <v>45.375437381428746</v>
      </c>
      <c r="I17" s="71">
        <f t="shared" si="5"/>
        <v>45.375437381428746</v>
      </c>
      <c r="J17" s="71">
        <f t="shared" si="5"/>
        <v>45.375437381428746</v>
      </c>
      <c r="K17" s="12">
        <f t="shared" si="5"/>
        <v>45.375437381428746</v>
      </c>
      <c r="L17" s="12">
        <f t="shared" si="5"/>
        <v>45.375437381428746</v>
      </c>
      <c r="M17" s="12">
        <f t="shared" si="5"/>
        <v>45.375437381428746</v>
      </c>
      <c r="N17" s="12">
        <f t="shared" ref="N17:S17" si="6">N15+10*LOG10(N41/1000000)</f>
        <v>45.375437381428746</v>
      </c>
      <c r="O17" s="12">
        <f t="shared" si="6"/>
        <v>45.375437381428746</v>
      </c>
      <c r="P17" s="12">
        <f t="shared" si="6"/>
        <v>45.375437381428746</v>
      </c>
      <c r="Q17" s="12">
        <f t="shared" si="6"/>
        <v>45.375437381428746</v>
      </c>
      <c r="R17" s="12">
        <f t="shared" si="6"/>
        <v>45.375437381428746</v>
      </c>
      <c r="S17" s="12">
        <f t="shared" si="6"/>
        <v>45.375437381428746</v>
      </c>
      <c r="T17" s="8">
        <f t="shared" ref="T17:Y17" si="7">T15+10*LOG10(T41/1000000)</f>
        <v>45.375437381428746</v>
      </c>
      <c r="U17" s="8">
        <f t="shared" si="7"/>
        <v>45.375437381428746</v>
      </c>
      <c r="V17" s="8">
        <f t="shared" si="7"/>
        <v>45.375437381428746</v>
      </c>
      <c r="W17" s="8">
        <f t="shared" si="7"/>
        <v>45.375437381428746</v>
      </c>
      <c r="X17" s="8">
        <f t="shared" si="7"/>
        <v>45.375437381428746</v>
      </c>
      <c r="Y17" s="8">
        <f t="shared" si="7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</row>
    <row r="18" spans="1:31" ht="41.4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</row>
    <row r="19" spans="1:3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</row>
    <row r="20" spans="1:31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</row>
    <row r="21" spans="1:31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</row>
    <row r="22" spans="1:3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</row>
    <row r="23" spans="1:3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</row>
    <row r="24" spans="1:3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</row>
    <row r="25" spans="1:31">
      <c r="A25" s="7" t="s">
        <v>49</v>
      </c>
      <c r="B25" s="12">
        <f t="shared" ref="B25:G25" si="13">B17+B18+B21+B22-B24</f>
        <v>67.146649928625379</v>
      </c>
      <c r="C25" s="12">
        <f t="shared" si="13"/>
        <v>67.146649928625379</v>
      </c>
      <c r="D25" s="12">
        <f t="shared" si="13"/>
        <v>67.146649928625379</v>
      </c>
      <c r="E25" s="12">
        <f t="shared" si="13"/>
        <v>64.236649928625368</v>
      </c>
      <c r="F25" s="12"/>
      <c r="G25" s="12">
        <f t="shared" si="13"/>
        <v>64.236649928625368</v>
      </c>
      <c r="H25" s="71">
        <f t="shared" ref="H25:M25" si="14">H17+H18+H21+H22-H24</f>
        <v>67.146649928625379</v>
      </c>
      <c r="I25" s="71">
        <f t="shared" si="14"/>
        <v>67.146649928625379</v>
      </c>
      <c r="J25" s="71">
        <f t="shared" si="14"/>
        <v>67.146649928625379</v>
      </c>
      <c r="K25" s="12">
        <f t="shared" si="14"/>
        <v>67.146649928625379</v>
      </c>
      <c r="L25" s="12">
        <f t="shared" si="14"/>
        <v>67.146649928625379</v>
      </c>
      <c r="M25" s="12">
        <f t="shared" si="14"/>
        <v>67.146649928625379</v>
      </c>
      <c r="N25" s="12">
        <f t="shared" ref="N25:S25" si="15">N17+N18+N21+N22-N24</f>
        <v>67.548149711824436</v>
      </c>
      <c r="O25" s="12">
        <f t="shared" si="15"/>
        <v>67.548149711824436</v>
      </c>
      <c r="P25" s="12">
        <f t="shared" si="15"/>
        <v>67.548149711824436</v>
      </c>
      <c r="Q25" s="12">
        <f t="shared" si="15"/>
        <v>63.146649928625379</v>
      </c>
      <c r="R25" s="12">
        <f t="shared" si="15"/>
        <v>63.146649928625379</v>
      </c>
      <c r="S25" s="12">
        <f t="shared" si="15"/>
        <v>63.146649928625379</v>
      </c>
      <c r="T25" s="8">
        <f t="shared" ref="T25:Y25" si="16">T17+T18+T21+T22-T24</f>
        <v>67.146649928625379</v>
      </c>
      <c r="U25" s="8">
        <f t="shared" si="16"/>
        <v>67.146649928625379</v>
      </c>
      <c r="V25" s="8">
        <f t="shared" si="16"/>
        <v>67.146649928625379</v>
      </c>
      <c r="W25" s="8">
        <f t="shared" si="16"/>
        <v>70.196649928625376</v>
      </c>
      <c r="X25" s="8">
        <f t="shared" si="16"/>
        <v>70.196649928625376</v>
      </c>
      <c r="Y25" s="8">
        <f t="shared" si="16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</row>
    <row r="26" spans="1:3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</row>
    <row r="27" spans="1:31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</row>
    <row r="29" spans="1:3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</row>
    <row r="30" spans="1:31" ht="41.4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</row>
    <row r="31" spans="1:3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</row>
    <row r="32" spans="1:31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</row>
    <row r="33" spans="1:31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</row>
    <row r="34" spans="1:3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</row>
    <row r="35" spans="1:3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</row>
    <row r="36" spans="1:3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</row>
    <row r="37" spans="1:3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</row>
    <row r="38" spans="1:3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</row>
    <row r="39" spans="1:31" ht="27.6">
      <c r="A39" s="7" t="s">
        <v>106</v>
      </c>
      <c r="B39" s="12">
        <f t="shared" ref="B39:G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/>
      <c r="G39" s="12">
        <f t="shared" si="21"/>
        <v>-167.00000000000003</v>
      </c>
      <c r="H39" s="71">
        <f t="shared" ref="H39:M39" si="22">10*LOG10(10^((H35+H36)/10)+10^(H37/10))</f>
        <v>-167.00000000000003</v>
      </c>
      <c r="I39" s="71">
        <f t="shared" si="22"/>
        <v>-167.00000000000003</v>
      </c>
      <c r="J39" s="71">
        <f t="shared" si="22"/>
        <v>-167.00000000000003</v>
      </c>
      <c r="K39" s="12">
        <f t="shared" si="22"/>
        <v>-167.00000000000003</v>
      </c>
      <c r="L39" s="12">
        <f t="shared" si="22"/>
        <v>-167.00000000000003</v>
      </c>
      <c r="M39" s="12">
        <f t="shared" si="22"/>
        <v>-167.00000000000003</v>
      </c>
      <c r="N39" s="12">
        <f t="shared" ref="N39:S39" si="23">10*LOG10(10^((N35+N36)/10)+10^(N37/10))</f>
        <v>-164.98918835931039</v>
      </c>
      <c r="O39" s="12">
        <f t="shared" si="23"/>
        <v>-164.98918835931039</v>
      </c>
      <c r="P39" s="12">
        <f t="shared" si="23"/>
        <v>-164.98918835931039</v>
      </c>
      <c r="Q39" s="12">
        <f t="shared" si="23"/>
        <v>-167.00000000000003</v>
      </c>
      <c r="R39" s="12">
        <f t="shared" si="23"/>
        <v>-167.00000000000003</v>
      </c>
      <c r="S39" s="12">
        <f t="shared" si="23"/>
        <v>-167.00000000000003</v>
      </c>
      <c r="T39" s="8">
        <f t="shared" ref="T39:Y39" si="24">10*LOG10(10^((T35+T36)/10)+10^(T37/10))</f>
        <v>-167.00000000000003</v>
      </c>
      <c r="U39" s="8">
        <f t="shared" si="24"/>
        <v>-167.00000000000003</v>
      </c>
      <c r="V39" s="8">
        <f t="shared" si="24"/>
        <v>-167.00000000000003</v>
      </c>
      <c r="W39" s="8">
        <f t="shared" si="24"/>
        <v>-164.98918835931039</v>
      </c>
      <c r="X39" s="8">
        <f t="shared" si="24"/>
        <v>-164.98918835931039</v>
      </c>
      <c r="Y39" s="8">
        <f t="shared" si="24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</row>
    <row r="40" spans="1:31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</row>
    <row r="41" spans="1:31">
      <c r="A41" s="20" t="s">
        <v>68</v>
      </c>
      <c r="B41" s="12">
        <f t="shared" ref="B41:G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/>
      <c r="G41" s="12">
        <f t="shared" si="25"/>
        <v>17280000</v>
      </c>
      <c r="H41" s="71">
        <f t="shared" ref="H41:M41" si="26">48*360*1000</f>
        <v>17280000</v>
      </c>
      <c r="I41" s="71">
        <f t="shared" si="26"/>
        <v>17280000</v>
      </c>
      <c r="J41" s="71">
        <f t="shared" si="26"/>
        <v>17280000</v>
      </c>
      <c r="K41" s="12">
        <f t="shared" si="26"/>
        <v>17280000</v>
      </c>
      <c r="L41" s="12">
        <f t="shared" si="26"/>
        <v>17280000</v>
      </c>
      <c r="M41" s="12">
        <f t="shared" si="26"/>
        <v>17280000</v>
      </c>
      <c r="N41" s="12">
        <f t="shared" ref="N41:S41" si="27">48*360*1000</f>
        <v>17280000</v>
      </c>
      <c r="O41" s="12">
        <f t="shared" si="27"/>
        <v>17280000</v>
      </c>
      <c r="P41" s="12">
        <f t="shared" si="27"/>
        <v>17280000</v>
      </c>
      <c r="Q41" s="12">
        <f t="shared" si="27"/>
        <v>17280000</v>
      </c>
      <c r="R41" s="12">
        <f t="shared" si="27"/>
        <v>17280000</v>
      </c>
      <c r="S41" s="12">
        <f t="shared" si="27"/>
        <v>17280000</v>
      </c>
      <c r="T41" s="8">
        <f t="shared" ref="T41:Y41" si="28">48*360*1000</f>
        <v>17280000</v>
      </c>
      <c r="U41" s="8">
        <f t="shared" si="28"/>
        <v>17280000</v>
      </c>
      <c r="V41" s="8">
        <f t="shared" si="28"/>
        <v>17280000</v>
      </c>
      <c r="W41" s="8">
        <f t="shared" si="28"/>
        <v>17280000</v>
      </c>
      <c r="X41" s="8">
        <f t="shared" si="28"/>
        <v>17280000</v>
      </c>
      <c r="Y41" s="8">
        <f t="shared" si="28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</row>
    <row r="42" spans="1:3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</row>
    <row r="43" spans="1:31">
      <c r="A43" s="7" t="s">
        <v>71</v>
      </c>
      <c r="B43" s="12">
        <f t="shared" ref="B43:G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/>
      <c r="G43" s="12">
        <f t="shared" si="29"/>
        <v>-94.624562618571289</v>
      </c>
      <c r="H43" s="71">
        <f t="shared" ref="H43:M43" si="30">H39+10*LOG10(H41)</f>
        <v>-94.624562618571289</v>
      </c>
      <c r="I43" s="71">
        <f t="shared" si="30"/>
        <v>-94.624562618571289</v>
      </c>
      <c r="J43" s="71">
        <f t="shared" si="30"/>
        <v>-94.624562618571289</v>
      </c>
      <c r="K43" s="12">
        <f t="shared" si="30"/>
        <v>-94.624562618571289</v>
      </c>
      <c r="L43" s="12">
        <f t="shared" si="30"/>
        <v>-94.624562618571289</v>
      </c>
      <c r="M43" s="12">
        <f t="shared" si="30"/>
        <v>-94.624562618571289</v>
      </c>
      <c r="N43" s="12">
        <f t="shared" ref="N43:S43" si="31">N39+10*LOG10(N41)</f>
        <v>-92.613750977881651</v>
      </c>
      <c r="O43" s="12">
        <f t="shared" si="31"/>
        <v>-92.613750977881651</v>
      </c>
      <c r="P43" s="12">
        <f t="shared" si="31"/>
        <v>-92.613750977881651</v>
      </c>
      <c r="Q43" s="12">
        <f t="shared" si="31"/>
        <v>-94.624562618571289</v>
      </c>
      <c r="R43" s="12">
        <f t="shared" si="31"/>
        <v>-94.624562618571289</v>
      </c>
      <c r="S43" s="12">
        <f t="shared" si="31"/>
        <v>-94.624562618571289</v>
      </c>
      <c r="T43" s="8">
        <f t="shared" ref="T43:Y43" si="32">T39+10*LOG10(T41)</f>
        <v>-94.624562618571289</v>
      </c>
      <c r="U43" s="8">
        <f t="shared" si="32"/>
        <v>-94.624562618571289</v>
      </c>
      <c r="V43" s="8">
        <f t="shared" si="32"/>
        <v>-94.624562618571289</v>
      </c>
      <c r="W43" s="8">
        <f t="shared" si="32"/>
        <v>-92.613750977881651</v>
      </c>
      <c r="X43" s="8">
        <f t="shared" si="32"/>
        <v>-92.613750977881651</v>
      </c>
      <c r="Y43" s="8">
        <f t="shared" si="32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</row>
    <row r="44" spans="1:3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</row>
    <row r="45" spans="1:31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</row>
    <row r="46" spans="1:3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</row>
    <row r="47" spans="1:3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</row>
    <row r="48" spans="1:3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</row>
    <row r="49" spans="1:3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</row>
    <row r="50" spans="1:31" ht="27.6">
      <c r="A50" s="7" t="s">
        <v>80</v>
      </c>
      <c r="B50" s="12">
        <f t="shared" ref="B50:G50" si="33">B43+B45+B47-B48</f>
        <v>-103.92456261857129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/>
      <c r="G50" s="12">
        <f t="shared" si="33"/>
        <v>-98.01456261857129</v>
      </c>
      <c r="H50" s="71">
        <f t="shared" ref="H50:M50" si="34">H43+H45+H47-H48</f>
        <v>-105.31456261857129</v>
      </c>
      <c r="I50" s="71">
        <f t="shared" si="34"/>
        <v>-102.00456261857128</v>
      </c>
      <c r="J50" s="71">
        <f t="shared" si="34"/>
        <v>-98.044562618571291</v>
      </c>
      <c r="K50" s="12">
        <f t="shared" si="34"/>
        <v>-102.51456261857129</v>
      </c>
      <c r="L50" s="12">
        <f t="shared" si="34"/>
        <v>-100.0245626185713</v>
      </c>
      <c r="M50" s="12">
        <f t="shared" si="34"/>
        <v>-96.324562618571292</v>
      </c>
      <c r="N50" s="12">
        <f t="shared" ref="N50:S50" si="35">N43+N45+N47-N48</f>
        <v>-99.033750977881652</v>
      </c>
      <c r="O50" s="12">
        <f t="shared" si="35"/>
        <v>-96.433750977881658</v>
      </c>
      <c r="P50" s="12">
        <f t="shared" si="35"/>
        <v>-93.233750977881655</v>
      </c>
      <c r="Q50" s="12">
        <f t="shared" si="35"/>
        <v>-104.12456261857129</v>
      </c>
      <c r="R50" s="12">
        <f t="shared" si="35"/>
        <v>-101.62456261857129</v>
      </c>
      <c r="S50" s="12">
        <f t="shared" si="35"/>
        <v>-98.474562618571284</v>
      </c>
      <c r="T50" s="8">
        <f t="shared" ref="T50:Y50" si="36">T43+T45+T47-T48</f>
        <v>-100.62456261857129</v>
      </c>
      <c r="U50" s="8">
        <f t="shared" si="36"/>
        <v>-97.824562618571292</v>
      </c>
      <c r="V50" s="8">
        <f t="shared" si="36"/>
        <v>-95.224562618571284</v>
      </c>
      <c r="W50" s="8">
        <f t="shared" si="36"/>
        <v>-99.113750977881651</v>
      </c>
      <c r="X50" s="8">
        <f t="shared" si="36"/>
        <v>-96.313750977881654</v>
      </c>
      <c r="Y50" s="8">
        <f t="shared" si="36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</row>
    <row r="51" spans="1:31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</row>
    <row r="52" spans="1:31" ht="27.6">
      <c r="A52" s="21" t="s">
        <v>83</v>
      </c>
      <c r="B52" s="22">
        <f>B25+B30+B33-B34-B50</f>
        <v>170.07121254719667</v>
      </c>
      <c r="C52" s="22">
        <f t="shared" ref="C52:G52" si="37">C25+C30+C33-C34-C50</f>
        <v>164.07121254719667</v>
      </c>
      <c r="D52" s="22">
        <f t="shared" si="37"/>
        <v>160.57121254719667</v>
      </c>
      <c r="E52" s="22">
        <f t="shared" si="37"/>
        <v>167.41121254719667</v>
      </c>
      <c r="F52" s="22"/>
      <c r="G52" s="22">
        <f t="shared" si="37"/>
        <v>158.25121254719664</v>
      </c>
      <c r="H52" s="76">
        <f>H25+H30+H33-H34-H50</f>
        <v>171.46121254719668</v>
      </c>
      <c r="I52" s="76">
        <f t="shared" ref="I52:J52" si="38">I25+I30+I33-I34-I50</f>
        <v>165.15121254719668</v>
      </c>
      <c r="J52" s="76">
        <f t="shared" si="38"/>
        <v>161.19121254719667</v>
      </c>
      <c r="K52" s="22">
        <f>K25+K30+K33-K34-K50</f>
        <v>168.66121254719667</v>
      </c>
      <c r="L52" s="22">
        <f t="shared" ref="L52:M52" si="39">L25+L30+L33-L34-L50</f>
        <v>163.17121254719666</v>
      </c>
      <c r="M52" s="22">
        <f t="shared" si="39"/>
        <v>159.47121254719667</v>
      </c>
      <c r="N52" s="22">
        <f>N25+N30+N33-N34-N50</f>
        <v>165.58190068970609</v>
      </c>
      <c r="O52" s="22">
        <f t="shared" ref="O52:P52" si="40">O25+O30+O33-O34-O50</f>
        <v>159.98190068970609</v>
      </c>
      <c r="P52" s="22">
        <f t="shared" si="40"/>
        <v>156.78190068970611</v>
      </c>
      <c r="Q52" s="22">
        <f>Q25+Q30+Q33-Q34-Q50</f>
        <v>166.27121254719668</v>
      </c>
      <c r="R52" s="22">
        <f t="shared" ref="R52:S52" si="41">R25+R30+R33-R34-R50</f>
        <v>160.77121254719668</v>
      </c>
      <c r="S52" s="22">
        <f t="shared" si="41"/>
        <v>157.62121254719665</v>
      </c>
      <c r="T52" s="22">
        <f>T25+T30+T33-T34-T50</f>
        <v>166.77121254719668</v>
      </c>
      <c r="U52" s="22">
        <f t="shared" ref="U52:V52" si="42">U25+U30+U33-U34-U50</f>
        <v>160.97121254719667</v>
      </c>
      <c r="V52" s="22">
        <f t="shared" si="42"/>
        <v>158.37121254719665</v>
      </c>
      <c r="W52" s="22">
        <f>W25+W30+W33-W34-W50</f>
        <v>168.31040090650703</v>
      </c>
      <c r="X52" s="22">
        <f t="shared" ref="X52:Y52" si="43">X25+X30+X33-X34-X50</f>
        <v>162.51040090650702</v>
      </c>
      <c r="Y52" s="22">
        <f t="shared" si="43"/>
        <v>158.51040090650702</v>
      </c>
      <c r="Z52" s="22">
        <f>Z25+Z30+Z33-Z34-Z50</f>
        <v>169.64121254719669</v>
      </c>
      <c r="AA52" s="22">
        <f t="shared" ref="AA52:AB52" si="44">AA25+AA30+AA33-AA34-AA50</f>
        <v>163.83121254719669</v>
      </c>
      <c r="AB52" s="22">
        <f t="shared" si="44"/>
        <v>160.40121254719668</v>
      </c>
      <c r="AC52" s="22">
        <f>AC25+AC30+AC33-AC34-AC50</f>
        <v>168.41040090650705</v>
      </c>
      <c r="AD52" s="22">
        <f t="shared" ref="AD52" si="45">AD25+AD30+AD33-AD34-AD50</f>
        <v>162.76040090650702</v>
      </c>
      <c r="AE52" s="22"/>
    </row>
    <row r="53" spans="1:31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</row>
    <row r="54" spans="1:31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</row>
    <row r="56" spans="1:31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</row>
    <row r="57" spans="1:31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</row>
    <row r="58" spans="1:3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</row>
    <row r="59" spans="1:3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</row>
    <row r="60" spans="1:3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</row>
    <row r="61" spans="1:31" ht="27.6">
      <c r="A61" s="21" t="s">
        <v>108</v>
      </c>
      <c r="B61" s="22">
        <f>B52-B56+B58-B59+B60</f>
        <v>136.26121254719666</v>
      </c>
      <c r="C61" s="22">
        <f t="shared" ref="C61:G61" si="46">C52-C56+C58-C59+C60</f>
        <v>130.26121254719666</v>
      </c>
      <c r="D61" s="22">
        <f t="shared" si="46"/>
        <v>126.76121254719666</v>
      </c>
      <c r="E61" s="22">
        <f t="shared" si="46"/>
        <v>133.60121254719667</v>
      </c>
      <c r="F61" s="22"/>
      <c r="G61" s="22">
        <f t="shared" si="46"/>
        <v>124.44121254719664</v>
      </c>
      <c r="H61" s="76">
        <f>H52-H56+H58-H59+H60</f>
        <v>137.65121254719668</v>
      </c>
      <c r="I61" s="76">
        <f t="shared" ref="I61:J61" si="47">I52-I56+I58-I59+I60</f>
        <v>131.34121254719668</v>
      </c>
      <c r="J61" s="76">
        <f t="shared" si="47"/>
        <v>127.38121254719667</v>
      </c>
      <c r="K61" s="22">
        <f>K52-K56+K58-K59+K60</f>
        <v>134.85121254719667</v>
      </c>
      <c r="L61" s="22">
        <f t="shared" ref="L61:M61" si="48">L52-L56+L58-L59+L60</f>
        <v>129.36121254719666</v>
      </c>
      <c r="M61" s="22">
        <f t="shared" si="48"/>
        <v>125.66121254719667</v>
      </c>
      <c r="N61" s="22">
        <f>N52-N56+N58-N59+N60</f>
        <v>131.77190068970609</v>
      </c>
      <c r="O61" s="22">
        <f t="shared" ref="O61:P61" si="49">O52-O56+O58-O59+O60</f>
        <v>126.17190068970609</v>
      </c>
      <c r="P61" s="22">
        <f t="shared" si="49"/>
        <v>122.9719006897061</v>
      </c>
      <c r="Q61" s="22">
        <f>Q52-Q56+Q58-Q59+Q60</f>
        <v>132.46121254719668</v>
      </c>
      <c r="R61" s="22">
        <f t="shared" ref="R61:S61" si="50">R52-R56+R58-R59+R60</f>
        <v>126.96121254719668</v>
      </c>
      <c r="S61" s="22">
        <f t="shared" si="50"/>
        <v>123.81121254719665</v>
      </c>
      <c r="T61" s="22">
        <f>T52-T56+T58-T59+T60</f>
        <v>132.96121254719668</v>
      </c>
      <c r="U61" s="22">
        <f t="shared" ref="U61:V61" si="51">U52-U56+U58-U59+U60</f>
        <v>127.16121254719667</v>
      </c>
      <c r="V61" s="22">
        <f t="shared" si="51"/>
        <v>124.56121254719665</v>
      </c>
      <c r="W61" s="22">
        <f>W52-W56+W58-W59+W60</f>
        <v>134.48040090650701</v>
      </c>
      <c r="X61" s="22">
        <f t="shared" ref="X61:Y61" si="52">X52-X56+X58-X59+X60</f>
        <v>128.680400906507</v>
      </c>
      <c r="Y61" s="22">
        <f t="shared" si="52"/>
        <v>124.680400906507</v>
      </c>
      <c r="Z61" s="22">
        <f>Z52-Z56+Z58-Z59+Z60</f>
        <v>135.83121254719669</v>
      </c>
      <c r="AA61" s="22">
        <f t="shared" ref="AA61:AB61" si="53">AA52-AA56+AA58-AA59+AA60</f>
        <v>130.02121254719668</v>
      </c>
      <c r="AB61" s="22">
        <f t="shared" si="53"/>
        <v>126.59121254719668</v>
      </c>
      <c r="AC61" s="22">
        <f>AC52-AC56+AC58-AC59+AC60</f>
        <v>134.60040090650705</v>
      </c>
      <c r="AD61" s="22">
        <f t="shared" ref="AD61" si="54">AD52-AD56+AD58-AD59+AD60</f>
        <v>128.95040090650701</v>
      </c>
      <c r="AE61" s="22"/>
    </row>
    <row r="62" spans="1:31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</row>
    <row r="63" spans="1:31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</row>
    <row r="64" spans="1:31">
      <c r="A64" s="21" t="s">
        <v>97</v>
      </c>
      <c r="B64" s="22">
        <f t="shared" ref="B64:G64" si="55">B17+B22-B50+B21+B33</f>
        <v>161.30000000000004</v>
      </c>
      <c r="C64" s="22">
        <f t="shared" si="55"/>
        <v>158.30000000000004</v>
      </c>
      <c r="D64" s="22">
        <f t="shared" si="55"/>
        <v>154.80000000000004</v>
      </c>
      <c r="E64" s="22">
        <f t="shared" si="55"/>
        <v>161.59000000000003</v>
      </c>
      <c r="F64" s="22"/>
      <c r="G64" s="22">
        <f t="shared" si="55"/>
        <v>155.43000000000004</v>
      </c>
      <c r="H64" s="76">
        <f t="shared" ref="H64:M64" si="56">H17+H22-H50+H21+H33</f>
        <v>162.69000000000003</v>
      </c>
      <c r="I64" s="76">
        <f t="shared" si="56"/>
        <v>159.38000000000002</v>
      </c>
      <c r="J64" s="76">
        <f t="shared" si="56"/>
        <v>155.42000000000004</v>
      </c>
      <c r="K64" s="22">
        <f t="shared" si="56"/>
        <v>159.89000000000004</v>
      </c>
      <c r="L64" s="22">
        <f t="shared" si="56"/>
        <v>157.40000000000003</v>
      </c>
      <c r="M64" s="22">
        <f t="shared" si="56"/>
        <v>153.70000000000005</v>
      </c>
      <c r="N64" s="22">
        <f t="shared" ref="N64:S64" si="57">N17+N22-N50+N21+N33</f>
        <v>159.46068814250947</v>
      </c>
      <c r="O64" s="22">
        <f t="shared" si="57"/>
        <v>156.86068814250947</v>
      </c>
      <c r="P64" s="22">
        <f t="shared" si="57"/>
        <v>153.66068814250946</v>
      </c>
      <c r="Q64" s="22">
        <f t="shared" si="57"/>
        <v>157.50000000000003</v>
      </c>
      <c r="R64" s="22">
        <f t="shared" si="57"/>
        <v>155.00000000000003</v>
      </c>
      <c r="S64" s="22">
        <f t="shared" si="57"/>
        <v>151.85000000000002</v>
      </c>
      <c r="T64" s="22">
        <f t="shared" ref="T64:Y64" si="58">T17+T22-T50+T21+T33</f>
        <v>158.00000000000003</v>
      </c>
      <c r="U64" s="22">
        <f t="shared" si="58"/>
        <v>155.20000000000005</v>
      </c>
      <c r="V64" s="22">
        <f t="shared" si="58"/>
        <v>152.60000000000002</v>
      </c>
      <c r="W64" s="22">
        <f t="shared" si="58"/>
        <v>159.5391883593104</v>
      </c>
      <c r="X64" s="22">
        <f t="shared" si="58"/>
        <v>156.73918835931042</v>
      </c>
      <c r="Y64" s="22">
        <f t="shared" si="58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</row>
    <row r="65" spans="1:3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</row>
  </sheetData>
  <mergeCells count="10">
    <mergeCell ref="AC1:AE1"/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zoomScale="70" zoomScaleNormal="70" workbookViewId="0">
      <pane xSplit="1" ySplit="1" topLeftCell="S41" activePane="bottomRight" state="frozen"/>
      <selection pane="topRight"/>
      <selection pane="bottomLeft"/>
      <selection pane="bottomRight" activeCell="AC2" sqref="AC1:AE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5" style="1" bestFit="1" customWidth="1"/>
    <col min="18" max="19" width="15.69921875" style="1" bestFit="1" customWidth="1"/>
    <col min="20" max="20" width="13.59765625" style="1" customWidth="1"/>
    <col min="21" max="21" width="14.8984375" style="1" customWidth="1"/>
    <col min="22" max="22" width="17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31" width="14" style="1" customWidth="1"/>
    <col min="32" max="16384" width="9" style="1"/>
  </cols>
  <sheetData>
    <row r="1" spans="1:31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</row>
    <row r="2" spans="1:3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</row>
    <row r="3" spans="1:3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</row>
    <row r="4" spans="1:3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</row>
    <row r="6" spans="1:31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</row>
    <row r="7" spans="1:3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</row>
    <row r="8" spans="1:31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</row>
    <row r="9" spans="1:31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</row>
    <row r="11" spans="1:31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</row>
    <row r="13" spans="1:3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</row>
    <row r="14" spans="1:3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</row>
    <row r="15" spans="1:3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</row>
    <row r="16" spans="1:31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</row>
    <row r="17" spans="1:31" ht="27.6">
      <c r="A17" s="7" t="s">
        <v>35</v>
      </c>
      <c r="B17" s="12">
        <f t="shared" ref="B17:G17" si="4">B15+10*LOG10(B42/1000000)</f>
        <v>48.105450102066122</v>
      </c>
      <c r="C17" s="12">
        <f t="shared" si="4"/>
        <v>41.115750058705935</v>
      </c>
      <c r="D17" s="12">
        <f t="shared" si="4"/>
        <v>41.115750058705935</v>
      </c>
      <c r="E17" s="12">
        <f t="shared" si="4"/>
        <v>51.907562519182179</v>
      </c>
      <c r="F17" s="12"/>
      <c r="G17" s="12">
        <f t="shared" si="4"/>
        <v>44.997551772534749</v>
      </c>
      <c r="H17" s="71">
        <f t="shared" ref="H17:M17" si="5">H15+10*LOG10(H42/1000000)</f>
        <v>51.57332496431269</v>
      </c>
      <c r="I17" s="71">
        <f t="shared" si="5"/>
        <v>45.638726768652234</v>
      </c>
      <c r="J17" s="71">
        <f t="shared" si="5"/>
        <v>45.638726768652234</v>
      </c>
      <c r="K17" s="12">
        <f t="shared" si="5"/>
        <v>52.924651478080435</v>
      </c>
      <c r="L17" s="12">
        <f t="shared" si="5"/>
        <v>45.638726768652234</v>
      </c>
      <c r="M17" s="12">
        <f t="shared" si="5"/>
        <v>45.638726768652234</v>
      </c>
      <c r="N17" s="12">
        <f t="shared" ref="N17:S17" si="6">N15+10*LOG10(N42/1000000)</f>
        <v>48.816083660320572</v>
      </c>
      <c r="O17" s="12">
        <f t="shared" si="6"/>
        <v>42.365137424788934</v>
      </c>
      <c r="P17" s="12">
        <f t="shared" si="6"/>
        <v>42.365137424788934</v>
      </c>
      <c r="Q17" s="12">
        <f t="shared" si="6"/>
        <v>51.57332496431269</v>
      </c>
      <c r="R17" s="12">
        <f t="shared" si="6"/>
        <v>45.638726768652234</v>
      </c>
      <c r="S17" s="12">
        <f t="shared" si="6"/>
        <v>45.638726768652234</v>
      </c>
      <c r="T17" s="8">
        <f t="shared" ref="T17:Y17" si="7">T15+10*LOG10(T42/1000000)</f>
        <v>51.57332496431269</v>
      </c>
      <c r="U17" s="8">
        <f t="shared" si="7"/>
        <v>45.638726768652234</v>
      </c>
      <c r="V17" s="8">
        <f t="shared" si="7"/>
        <v>45.638726768652234</v>
      </c>
      <c r="W17" s="8">
        <f t="shared" si="7"/>
        <v>52.924651478080435</v>
      </c>
      <c r="X17" s="8">
        <f t="shared" si="7"/>
        <v>45.638726768652234</v>
      </c>
      <c r="Y17" s="8">
        <f t="shared" si="7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</row>
    <row r="18" spans="1:31" ht="41.4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</row>
    <row r="19" spans="1:3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</row>
    <row r="20" spans="1:31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</row>
    <row r="21" spans="1:31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</row>
    <row r="22" spans="1:3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</row>
    <row r="23" spans="1:3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</row>
    <row r="24" spans="1:3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</row>
    <row r="25" spans="1:3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</row>
    <row r="26" spans="1:31">
      <c r="A26" s="7" t="s">
        <v>51</v>
      </c>
      <c r="B26" s="12">
        <f t="shared" ref="B26:G26" si="13">B17+B18+B21-B23-B24</f>
        <v>69.876662649262755</v>
      </c>
      <c r="C26" s="12">
        <f t="shared" si="13"/>
        <v>62.886962605902568</v>
      </c>
      <c r="D26" s="12">
        <f t="shared" si="13"/>
        <v>62.886962605902568</v>
      </c>
      <c r="E26" s="12">
        <f t="shared" si="13"/>
        <v>70.768775066378794</v>
      </c>
      <c r="F26" s="12"/>
      <c r="G26" s="12">
        <f t="shared" si="13"/>
        <v>63.858764319731364</v>
      </c>
      <c r="H26" s="71">
        <f t="shared" ref="H26:M26" si="14">H17+H18+H21-H23-H24</f>
        <v>73.344537511509316</v>
      </c>
      <c r="I26" s="71">
        <f t="shared" si="14"/>
        <v>67.40993931584886</v>
      </c>
      <c r="J26" s="71">
        <f t="shared" si="14"/>
        <v>67.40993931584886</v>
      </c>
      <c r="K26" s="12">
        <f t="shared" si="14"/>
        <v>74.695864025277061</v>
      </c>
      <c r="L26" s="12">
        <f t="shared" si="14"/>
        <v>67.40993931584886</v>
      </c>
      <c r="M26" s="12">
        <f t="shared" si="14"/>
        <v>67.40993931584886</v>
      </c>
      <c r="N26" s="12">
        <f t="shared" ref="N26:S26" si="15">N17+N18+N21-N23-N24</f>
        <v>70.988795990716255</v>
      </c>
      <c r="O26" s="12">
        <f t="shared" si="15"/>
        <v>64.537849755184624</v>
      </c>
      <c r="P26" s="12">
        <f t="shared" si="15"/>
        <v>64.537849755184624</v>
      </c>
      <c r="Q26" s="12">
        <f t="shared" si="15"/>
        <v>73.344537511509316</v>
      </c>
      <c r="R26" s="12">
        <f t="shared" si="15"/>
        <v>67.40993931584886</v>
      </c>
      <c r="S26" s="12">
        <f t="shared" si="15"/>
        <v>67.40993931584886</v>
      </c>
      <c r="T26" s="8">
        <f t="shared" ref="T26:Y26" si="16">T17+T18+T21-T23-T24</f>
        <v>73.344537511509316</v>
      </c>
      <c r="U26" s="8">
        <f t="shared" si="16"/>
        <v>67.40993931584886</v>
      </c>
      <c r="V26" s="8">
        <f t="shared" si="16"/>
        <v>67.40993931584886</v>
      </c>
      <c r="W26" s="8">
        <f t="shared" si="16"/>
        <v>77.745864025277058</v>
      </c>
      <c r="X26" s="8">
        <f t="shared" si="16"/>
        <v>70.459939315848857</v>
      </c>
      <c r="Y26" s="8">
        <f t="shared" si="16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</row>
    <row r="27" spans="1:31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</row>
    <row r="29" spans="1:3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</row>
    <row r="30" spans="1:31" ht="41.4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</row>
    <row r="31" spans="1:3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</row>
    <row r="32" spans="1:31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</row>
    <row r="33" spans="1:31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</row>
    <row r="34" spans="1:3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</row>
    <row r="35" spans="1:3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</row>
    <row r="36" spans="1:3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</row>
    <row r="37" spans="1:31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</row>
    <row r="38" spans="1:31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</row>
    <row r="39" spans="1:31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</row>
    <row r="40" spans="1:31" ht="27.6">
      <c r="A40" s="7" t="s">
        <v>107</v>
      </c>
      <c r="B40" s="12">
        <f t="shared" ref="B40:G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/>
      <c r="G40" s="12">
        <f t="shared" si="21"/>
        <v>-167.00000000000003</v>
      </c>
      <c r="H40" s="71">
        <f t="shared" ref="H40:M40" si="22">10*LOG10(10^((H35+H36)/10)+10^(H38/10))</f>
        <v>-167.00000000000003</v>
      </c>
      <c r="I40" s="71">
        <f t="shared" si="22"/>
        <v>-167.00000000000003</v>
      </c>
      <c r="J40" s="71">
        <f t="shared" si="22"/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-167.00000000000003</v>
      </c>
      <c r="N40" s="12">
        <f t="shared" ref="N40:S40" si="23">10*LOG10(10^((N35+N36)/10)+10^(N38/10))</f>
        <v>-164.98918835931039</v>
      </c>
      <c r="O40" s="12">
        <f t="shared" si="23"/>
        <v>-164.98918835931039</v>
      </c>
      <c r="P40" s="12">
        <f t="shared" si="23"/>
        <v>-164.98918835931039</v>
      </c>
      <c r="Q40" s="12">
        <f t="shared" si="23"/>
        <v>-167.00000000000003</v>
      </c>
      <c r="R40" s="12">
        <f t="shared" si="23"/>
        <v>-167.00000000000003</v>
      </c>
      <c r="S40" s="12">
        <f t="shared" si="23"/>
        <v>-167.00000000000003</v>
      </c>
      <c r="T40" s="8">
        <f t="shared" ref="T40:Y40" si="24">10*LOG10(10^((T35+T36)/10)+10^(T38/10))</f>
        <v>-167.00000000000003</v>
      </c>
      <c r="U40" s="8">
        <f t="shared" si="24"/>
        <v>-167.00000000000003</v>
      </c>
      <c r="V40" s="8">
        <f t="shared" si="24"/>
        <v>-167.00000000000003</v>
      </c>
      <c r="W40" s="8">
        <f t="shared" si="24"/>
        <v>-164.98918835931039</v>
      </c>
      <c r="X40" s="8">
        <f t="shared" si="24"/>
        <v>-164.98918835931039</v>
      </c>
      <c r="Y40" s="8">
        <f t="shared" si="24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</row>
    <row r="41" spans="1:3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</row>
    <row r="42" spans="1:31">
      <c r="A42" s="28" t="s">
        <v>70</v>
      </c>
      <c r="B42" s="18">
        <f>90*360*1000</f>
        <v>32400000</v>
      </c>
      <c r="C42" s="18">
        <f t="shared" ref="C42:D42" si="25">18*360*1000</f>
        <v>6480000</v>
      </c>
      <c r="D42" s="18">
        <f t="shared" si="25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</row>
    <row r="43" spans="1:31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</row>
    <row r="44" spans="1:31">
      <c r="A44" s="7" t="s">
        <v>72</v>
      </c>
      <c r="B44" s="12">
        <f t="shared" ref="B44:G44" si="26">B40+10*LOG10(B42)</f>
        <v>-91.894549897933913</v>
      </c>
      <c r="C44" s="12">
        <f t="shared" si="26"/>
        <v>-98.884249941294101</v>
      </c>
      <c r="D44" s="12">
        <f t="shared" si="26"/>
        <v>-98.884249941294101</v>
      </c>
      <c r="E44" s="12">
        <f t="shared" si="26"/>
        <v>-88.09243748081785</v>
      </c>
      <c r="F44" s="12"/>
      <c r="G44" s="12">
        <f t="shared" si="26"/>
        <v>-95.00244822746528</v>
      </c>
      <c r="H44" s="71">
        <f t="shared" ref="H44:M44" si="27">H40+10*LOG10(H42)</f>
        <v>-88.426675035687353</v>
      </c>
      <c r="I44" s="71">
        <f t="shared" si="27"/>
        <v>-94.361273231347795</v>
      </c>
      <c r="J44" s="71">
        <f t="shared" si="27"/>
        <v>-94.361273231347795</v>
      </c>
      <c r="K44" s="12">
        <f t="shared" si="27"/>
        <v>-87.075348521919594</v>
      </c>
      <c r="L44" s="12">
        <f t="shared" si="27"/>
        <v>-94.361273231347795</v>
      </c>
      <c r="M44" s="12">
        <f t="shared" si="27"/>
        <v>-94.361273231347795</v>
      </c>
      <c r="N44" s="12">
        <f t="shared" ref="N44:S44" si="28">N40+10*LOG10(N42)</f>
        <v>-89.173104698989818</v>
      </c>
      <c r="O44" s="12">
        <f t="shared" si="28"/>
        <v>-95.624050934521463</v>
      </c>
      <c r="P44" s="12">
        <f t="shared" si="28"/>
        <v>-95.624050934521463</v>
      </c>
      <c r="Q44" s="12">
        <f t="shared" si="28"/>
        <v>-88.426675035687353</v>
      </c>
      <c r="R44" s="12">
        <f t="shared" si="28"/>
        <v>-94.361273231347795</v>
      </c>
      <c r="S44" s="12">
        <f t="shared" si="28"/>
        <v>-94.361273231347795</v>
      </c>
      <c r="T44" s="8">
        <f t="shared" ref="T44:Y44" si="29">T40+10*LOG10(T42)</f>
        <v>-88.426675035687353</v>
      </c>
      <c r="U44" s="8">
        <f t="shared" si="29"/>
        <v>-94.361273231347795</v>
      </c>
      <c r="V44" s="8">
        <f t="shared" si="29"/>
        <v>-94.361273231347795</v>
      </c>
      <c r="W44" s="8">
        <f t="shared" si="29"/>
        <v>-85.064536881229955</v>
      </c>
      <c r="X44" s="8">
        <f t="shared" si="29"/>
        <v>-92.350461590658156</v>
      </c>
      <c r="Y44" s="8">
        <f t="shared" si="29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</row>
    <row r="45" spans="1:31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</row>
    <row r="46" spans="1:31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</row>
    <row r="47" spans="1:3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</row>
    <row r="48" spans="1:31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</row>
    <row r="49" spans="1:3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</row>
    <row r="50" spans="1:3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</row>
    <row r="51" spans="1:31" ht="27.6">
      <c r="A51" s="7" t="s">
        <v>82</v>
      </c>
      <c r="B51" s="12">
        <f t="shared" ref="B51:G51" si="30">B44+B46+B47-B49</f>
        <v>-94.694549897933911</v>
      </c>
      <c r="C51" s="12">
        <f t="shared" si="30"/>
        <v>-97.784249941294107</v>
      </c>
      <c r="D51" s="12">
        <f t="shared" si="30"/>
        <v>-92.984249941294095</v>
      </c>
      <c r="E51" s="12">
        <f t="shared" si="30"/>
        <v>-97.872437480817851</v>
      </c>
      <c r="F51" s="12"/>
      <c r="G51" s="12">
        <f t="shared" si="30"/>
        <v>-100.90244822746529</v>
      </c>
      <c r="H51" s="71">
        <f t="shared" ref="H51:M51" si="31">H44+H46+H47-H49</f>
        <v>-97.576675035687359</v>
      </c>
      <c r="I51" s="71">
        <f t="shared" si="31"/>
        <v>-101.2312732313478</v>
      </c>
      <c r="J51" s="71">
        <f t="shared" si="31"/>
        <v>-98.6212732313478</v>
      </c>
      <c r="K51" s="12">
        <f t="shared" si="31"/>
        <v>-93.875348521919591</v>
      </c>
      <c r="L51" s="12">
        <f t="shared" si="31"/>
        <v>-98.24127323134779</v>
      </c>
      <c r="M51" s="12">
        <f t="shared" si="31"/>
        <v>-94.391273231347796</v>
      </c>
      <c r="N51" s="12">
        <f t="shared" ref="N51:S51" si="32">N44+N46+N47-N49</f>
        <v>-91.963104698989824</v>
      </c>
      <c r="O51" s="12">
        <f t="shared" si="32"/>
        <v>-94.394050934521459</v>
      </c>
      <c r="P51" s="12">
        <f t="shared" si="32"/>
        <v>-90.084050934521457</v>
      </c>
      <c r="Q51" s="12">
        <f t="shared" si="32"/>
        <v>-96.026675035687347</v>
      </c>
      <c r="R51" s="12">
        <f t="shared" si="32"/>
        <v>-97.461273231347789</v>
      </c>
      <c r="S51" s="12">
        <f t="shared" si="32"/>
        <v>-93.861273231347795</v>
      </c>
      <c r="T51" s="8">
        <f t="shared" ref="T51:Y51" si="33">T44+T46+T47-T49</f>
        <v>-91.926675035687353</v>
      </c>
      <c r="U51" s="8">
        <f t="shared" si="33"/>
        <v>-95.861273231347795</v>
      </c>
      <c r="V51" s="8">
        <f t="shared" si="33"/>
        <v>-93.861273231347795</v>
      </c>
      <c r="W51" s="8">
        <f t="shared" si="33"/>
        <v>-90.064536881229955</v>
      </c>
      <c r="X51" s="8">
        <f t="shared" si="33"/>
        <v>-93.850461590658156</v>
      </c>
      <c r="Y51" s="8">
        <f t="shared" si="33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</row>
    <row r="52" spans="1:31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</row>
    <row r="53" spans="1:31" ht="27.6">
      <c r="A53" s="29" t="s">
        <v>85</v>
      </c>
      <c r="B53" s="22">
        <f>B26+B30+B33-B34-B51</f>
        <v>163.57121254719667</v>
      </c>
      <c r="C53" s="22">
        <f t="shared" ref="C53:G53" si="34">C26+C30+C33-C34-C51</f>
        <v>156.67121254719666</v>
      </c>
      <c r="D53" s="22">
        <f t="shared" si="34"/>
        <v>151.87121254719665</v>
      </c>
      <c r="E53" s="22">
        <f t="shared" si="34"/>
        <v>167.64121254719663</v>
      </c>
      <c r="F53" s="22"/>
      <c r="G53" s="22">
        <f t="shared" si="34"/>
        <v>160.76121254719664</v>
      </c>
      <c r="H53" s="76">
        <f>H26+H30+H33-H34-H51</f>
        <v>169.92121254719666</v>
      </c>
      <c r="I53" s="76">
        <f t="shared" ref="I53:J53" si="35">I26+I30+I33-I34-I51</f>
        <v>164.64121254719666</v>
      </c>
      <c r="J53" s="76">
        <f t="shared" si="35"/>
        <v>162.03121254719667</v>
      </c>
      <c r="K53" s="22">
        <f>K26+K30+K33-K34-K51</f>
        <v>167.57121254719664</v>
      </c>
      <c r="L53" s="22">
        <f t="shared" ref="L53:M53" si="36">L26+L30+L33-L34-L51</f>
        <v>161.65121254719665</v>
      </c>
      <c r="M53" s="22">
        <f t="shared" si="36"/>
        <v>157.80121254719666</v>
      </c>
      <c r="N53" s="22">
        <f>N26+N30+N33-N34-N51</f>
        <v>161.95190068970606</v>
      </c>
      <c r="O53" s="22">
        <f t="shared" ref="O53:P53" si="37">O26+O30+O33-O34-O51</f>
        <v>154.93190068970608</v>
      </c>
      <c r="P53" s="22">
        <f t="shared" si="37"/>
        <v>150.62190068970608</v>
      </c>
      <c r="Q53" s="22">
        <f>Q26+Q30+Q33-Q34-Q51</f>
        <v>168.37121254719665</v>
      </c>
      <c r="R53" s="22">
        <f t="shared" ref="R53:S53" si="38">R26+R30+R33-R34-R51</f>
        <v>160.87121254719665</v>
      </c>
      <c r="S53" s="22">
        <f t="shared" si="38"/>
        <v>157.27121254719665</v>
      </c>
      <c r="T53" s="22">
        <f>T26+T30+T33-T34-T51</f>
        <v>164.27121254719668</v>
      </c>
      <c r="U53" s="22">
        <f t="shared" ref="U53:V53" si="39">U26+U30+U33-U34-U51</f>
        <v>159.27121254719665</v>
      </c>
      <c r="V53" s="22">
        <f t="shared" si="39"/>
        <v>157.27121254719665</v>
      </c>
      <c r="W53" s="22">
        <f>W26+W30+W33-W34-W51</f>
        <v>166.81040090650703</v>
      </c>
      <c r="X53" s="22">
        <f t="shared" ref="X53:Y53" si="40">X26+X30+X33-X34-X51</f>
        <v>160.31040090650703</v>
      </c>
      <c r="Y53" s="22">
        <f t="shared" si="40"/>
        <v>156.81040090650703</v>
      </c>
      <c r="Z53" s="22">
        <f>Z26+Z30+Z33-Z34-Z51</f>
        <v>166.17121254719666</v>
      </c>
      <c r="AA53" s="22">
        <f t="shared" ref="AA53:AB53" si="41">AA26+AA30+AA33-AA34-AA51</f>
        <v>159.85121254719667</v>
      </c>
      <c r="AB53" s="22">
        <f t="shared" si="41"/>
        <v>155.69121254719664</v>
      </c>
      <c r="AC53" s="22">
        <f>AC26+AC30+AC33-AC34-AC51</f>
        <v>166.66040090650702</v>
      </c>
      <c r="AD53" s="22">
        <f t="shared" ref="AD53" si="42">AD26+AD30+AD33-AD34-AD51</f>
        <v>161.06040090650703</v>
      </c>
      <c r="AE53" s="22"/>
    </row>
    <row r="54" spans="1:31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</row>
    <row r="56" spans="1:31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</row>
    <row r="57" spans="1:31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</row>
    <row r="58" spans="1:3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</row>
    <row r="59" spans="1:3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</row>
    <row r="60" spans="1:3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</row>
    <row r="61" spans="1:31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</row>
    <row r="62" spans="1:31" ht="27.6">
      <c r="A62" s="29" t="s">
        <v>109</v>
      </c>
      <c r="B62" s="22">
        <f>B53-B57+B58-B59+B60</f>
        <v>132.84121254719668</v>
      </c>
      <c r="C62" s="22">
        <f t="shared" ref="C62:G62" si="43">C53-C57+C58-C59+C60</f>
        <v>125.94121254719667</v>
      </c>
      <c r="D62" s="22">
        <f t="shared" si="43"/>
        <v>121.14121254719666</v>
      </c>
      <c r="E62" s="22">
        <f t="shared" si="43"/>
        <v>136.91121254719664</v>
      </c>
      <c r="F62" s="22"/>
      <c r="G62" s="22">
        <f t="shared" si="43"/>
        <v>130.03121254719665</v>
      </c>
      <c r="H62" s="76">
        <f>H53-H57+H58-H59+H60</f>
        <v>139.19121254719667</v>
      </c>
      <c r="I62" s="76">
        <f t="shared" ref="I62:J62" si="44">I53-I57+I58-I59+I60</f>
        <v>133.91121254719667</v>
      </c>
      <c r="J62" s="76">
        <f t="shared" si="44"/>
        <v>131.30121254719668</v>
      </c>
      <c r="K62" s="22">
        <f>K53-K57+K58-K59+K60</f>
        <v>136.84121254719665</v>
      </c>
      <c r="L62" s="22">
        <f t="shared" ref="L62:M62" si="45">L53-L57+L58-L59+L60</f>
        <v>130.92121254719666</v>
      </c>
      <c r="M62" s="22">
        <f t="shared" si="45"/>
        <v>127.07121254719667</v>
      </c>
      <c r="N62" s="22">
        <f>N53-N57+N58-N59+N60</f>
        <v>131.22190068970608</v>
      </c>
      <c r="O62" s="22">
        <f t="shared" ref="O62:P62" si="46">O53-O57+O58-O59+O60</f>
        <v>124.20190068970609</v>
      </c>
      <c r="P62" s="22">
        <f t="shared" si="46"/>
        <v>119.89190068970609</v>
      </c>
      <c r="Q62" s="22">
        <f>Q53-Q57+Q58-Q59+Q60</f>
        <v>137.64121254719666</v>
      </c>
      <c r="R62" s="22">
        <f t="shared" ref="R62:S62" si="47">R53-R57+R58-R59+R60</f>
        <v>130.14121254719666</v>
      </c>
      <c r="S62" s="22">
        <f t="shared" si="47"/>
        <v>126.54121254719666</v>
      </c>
      <c r="T62" s="22">
        <f>T53-T57+T58-T59+T60</f>
        <v>133.54121254719669</v>
      </c>
      <c r="U62" s="22">
        <f t="shared" ref="U62:V62" si="48">U53-U57+U58-U59+U60</f>
        <v>128.54121254719666</v>
      </c>
      <c r="V62" s="22">
        <f t="shared" si="48"/>
        <v>126.54121254719666</v>
      </c>
      <c r="W62" s="22">
        <f>W53-W57+W58-W59+W60</f>
        <v>136.08040090650704</v>
      </c>
      <c r="X62" s="22">
        <f t="shared" ref="X62:Y62" si="49">X53-X57+X58-X59+X60</f>
        <v>129.58040090650704</v>
      </c>
      <c r="Y62" s="22">
        <f t="shared" si="49"/>
        <v>126.08040090650704</v>
      </c>
      <c r="Z62" s="22">
        <f>Z53-Z57+Z58-Z59+Z60</f>
        <v>135.44121254719667</v>
      </c>
      <c r="AA62" s="22">
        <f t="shared" ref="AA62:AB62" si="50">AA53-AA57+AA58-AA59+AA60</f>
        <v>129.12121254719668</v>
      </c>
      <c r="AB62" s="22">
        <f t="shared" si="50"/>
        <v>124.96121254719665</v>
      </c>
      <c r="AC62" s="22">
        <f>AC53-AC57+AC58-AC59+AC60</f>
        <v>135.93040090650703</v>
      </c>
      <c r="AD62" s="22">
        <f t="shared" ref="AD62" si="51">AD53-AD57+AD58-AD59+AD60</f>
        <v>130.33040090650704</v>
      </c>
      <c r="AE62" s="22"/>
    </row>
    <row r="63" spans="1:31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</row>
    <row r="64" spans="1:3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</row>
    <row r="65" spans="1:31">
      <c r="A65" s="29" t="s">
        <v>98</v>
      </c>
      <c r="B65" s="22">
        <f t="shared" ref="B65:G65" si="52">B17-B23-B51+B21+B33</f>
        <v>154.80000000000004</v>
      </c>
      <c r="C65" s="22">
        <f t="shared" si="52"/>
        <v>150.90000000000003</v>
      </c>
      <c r="D65" s="22">
        <f t="shared" si="52"/>
        <v>146.10000000000002</v>
      </c>
      <c r="E65" s="22">
        <f t="shared" si="52"/>
        <v>161.82000000000002</v>
      </c>
      <c r="F65" s="22"/>
      <c r="G65" s="22">
        <f t="shared" si="52"/>
        <v>157.94000000000003</v>
      </c>
      <c r="H65" s="76">
        <f t="shared" ref="H65:M65" si="53">H17-H23-H51+H21+H33</f>
        <v>161.15000000000003</v>
      </c>
      <c r="I65" s="76">
        <f t="shared" si="53"/>
        <v>158.87000000000003</v>
      </c>
      <c r="J65" s="76">
        <f t="shared" si="53"/>
        <v>156.26000000000005</v>
      </c>
      <c r="K65" s="22">
        <f t="shared" si="53"/>
        <v>158.80000000000001</v>
      </c>
      <c r="L65" s="22">
        <f t="shared" si="53"/>
        <v>155.88000000000002</v>
      </c>
      <c r="M65" s="22">
        <f t="shared" si="53"/>
        <v>152.03000000000003</v>
      </c>
      <c r="N65" s="22">
        <f t="shared" ref="N65:S65" si="54">N17-N23-N51+N21+N33</f>
        <v>155.83068814250947</v>
      </c>
      <c r="O65" s="22">
        <f t="shared" si="54"/>
        <v>151.81068814250946</v>
      </c>
      <c r="P65" s="22">
        <f t="shared" si="54"/>
        <v>147.50068814250946</v>
      </c>
      <c r="Q65" s="22">
        <f t="shared" si="54"/>
        <v>159.60000000000002</v>
      </c>
      <c r="R65" s="22">
        <f t="shared" si="54"/>
        <v>155.10000000000002</v>
      </c>
      <c r="S65" s="22">
        <f t="shared" si="54"/>
        <v>151.50000000000003</v>
      </c>
      <c r="T65" s="22">
        <f t="shared" ref="T65:Y65" si="55">T17-T23-T51+T21+T33</f>
        <v>155.50000000000006</v>
      </c>
      <c r="U65" s="22">
        <f t="shared" si="55"/>
        <v>153.50000000000003</v>
      </c>
      <c r="V65" s="22">
        <f t="shared" si="55"/>
        <v>151.50000000000003</v>
      </c>
      <c r="W65" s="22">
        <f t="shared" si="55"/>
        <v>158.0391883593104</v>
      </c>
      <c r="X65" s="22">
        <f t="shared" si="55"/>
        <v>154.5391883593104</v>
      </c>
      <c r="Y65" s="22">
        <f t="shared" si="55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</row>
  </sheetData>
  <mergeCells count="10">
    <mergeCell ref="AC1:AE1"/>
    <mergeCell ref="Z1:AB1"/>
    <mergeCell ref="W1:Y1"/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="55" zoomScaleNormal="55" workbookViewId="0">
      <pane xSplit="1" ySplit="1" topLeftCell="C17" activePane="bottomRight" state="frozen"/>
      <selection pane="topRight"/>
      <selection pane="bottomLeft"/>
      <selection pane="bottomRight" activeCell="R1" sqref="R1:S65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3984375" style="1" customWidth="1"/>
    <col min="19" max="19" width="13" style="1" customWidth="1"/>
    <col min="20" max="16384" width="9" style="1"/>
  </cols>
  <sheetData>
    <row r="1" spans="1:1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</row>
    <row r="2" spans="1:1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</row>
    <row r="3" spans="1:1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</row>
    <row r="14" spans="1:1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</row>
    <row r="26" spans="1:1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</row>
    <row r="29" spans="1:1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</row>
    <row r="30" spans="1:19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</row>
    <row r="33" spans="1:19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</row>
    <row r="34" spans="1:1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</row>
    <row r="38" spans="1:1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27.6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>10*LOG10(10^((R35+R36)/10)+10^(R37/10))</f>
        <v>-160.9583889004532</v>
      </c>
      <c r="S39" s="12">
        <f>10*LOG10(10^((S35+S36)/10)+10^(S37/10))</f>
        <v>-160.9583889004532</v>
      </c>
    </row>
    <row r="40" spans="1:19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</row>
    <row r="42" spans="1:1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-113.43697499232715</v>
      </c>
      <c r="Q43" s="12">
        <f t="shared" si="17"/>
        <v>-113.43697499232715</v>
      </c>
      <c r="R43" s="12">
        <f>R39+10*LOG10(R41)</f>
        <v>-105.39536389278032</v>
      </c>
      <c r="S43" s="12">
        <f>S39+10*LOG10(S41)</f>
        <v>-105.39536389278032</v>
      </c>
    </row>
    <row r="44" spans="1:1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</row>
    <row r="46" spans="1:1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27.6">
      <c r="A50" s="7" t="s">
        <v>80</v>
      </c>
      <c r="B50" s="12">
        <f t="shared" ref="B50:G50" si="18">B43+B45+B47-B48</f>
        <v>-118.83697499232716</v>
      </c>
      <c r="C50" s="12">
        <f t="shared" si="18"/>
        <v>-118.43697499232715</v>
      </c>
      <c r="D50" s="12">
        <f t="shared" si="18"/>
        <v>-121.77697499232715</v>
      </c>
      <c r="E50" s="12">
        <f t="shared" si="18"/>
        <v>-121.77697499232715</v>
      </c>
      <c r="F50" s="71">
        <f t="shared" si="18"/>
        <v>-115.26697499232715</v>
      </c>
      <c r="G50" s="71">
        <f t="shared" si="18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9">J43+J45+J47-J48</f>
        <v>-109.39536389278032</v>
      </c>
      <c r="K50" s="12">
        <f t="shared" si="19"/>
        <v>-109.39536389278032</v>
      </c>
      <c r="L50" s="12">
        <f t="shared" ref="L50:Q50" si="20">L43+L45+L47-L48</f>
        <v>-121.81697499232715</v>
      </c>
      <c r="M50" s="12">
        <f t="shared" si="20"/>
        <v>-121.81697499232715</v>
      </c>
      <c r="N50" s="8">
        <f t="shared" si="20"/>
        <v>-104.89536389278032</v>
      </c>
      <c r="O50" s="8">
        <f t="shared" si="20"/>
        <v>-104.89536389278032</v>
      </c>
      <c r="P50" s="12">
        <f t="shared" si="20"/>
        <v>-121.37697499232715</v>
      </c>
      <c r="Q50" s="12">
        <f t="shared" si="20"/>
        <v>-121.37697499232715</v>
      </c>
      <c r="R50" s="12">
        <f>R43+R45+R47-R48</f>
        <v>-112.49536389278032</v>
      </c>
      <c r="S50" s="12">
        <f>S43+S45+S47-S48</f>
        <v>-112.49536389278032</v>
      </c>
    </row>
    <row r="51" spans="1:19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27.6">
      <c r="A52" s="21" t="s">
        <v>83</v>
      </c>
      <c r="B52" s="22">
        <f t="shared" ref="B52:G52" si="21">B25+B30+B33-B34-B50</f>
        <v>158.60818753952378</v>
      </c>
      <c r="C52" s="22">
        <f t="shared" si="21"/>
        <v>155.20818753952378</v>
      </c>
      <c r="D52" s="22">
        <f t="shared" si="21"/>
        <v>162.63818753952378</v>
      </c>
      <c r="E52" s="22">
        <f t="shared" si="21"/>
        <v>159.63818753952378</v>
      </c>
      <c r="F52" s="76">
        <f t="shared" si="21"/>
        <v>155.03818753952379</v>
      </c>
      <c r="G52" s="76">
        <f t="shared" si="21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22">J25+J30+J33-J34-J50</f>
        <v>156.21807622317601</v>
      </c>
      <c r="K52" s="22">
        <f t="shared" si="22"/>
        <v>153.21807622317601</v>
      </c>
      <c r="L52" s="22">
        <f t="shared" ref="L52:Q52" si="23">L25+L30+L33-L34-L50</f>
        <v>161.58818753952377</v>
      </c>
      <c r="M52" s="22">
        <f t="shared" si="23"/>
        <v>158.58818753952377</v>
      </c>
      <c r="N52" s="22">
        <f t="shared" si="23"/>
        <v>151.71657643997696</v>
      </c>
      <c r="O52" s="22">
        <f t="shared" si="23"/>
        <v>148.71657643997696</v>
      </c>
      <c r="P52" s="22">
        <f t="shared" si="23"/>
        <v>161.14818753952378</v>
      </c>
      <c r="Q52" s="22">
        <f t="shared" si="23"/>
        <v>158.14818753952378</v>
      </c>
      <c r="R52" s="22">
        <f>R25+R30+R33-R34-R50</f>
        <v>156.26657643997694</v>
      </c>
      <c r="S52" s="22">
        <f>S25+S30+S33-S34-S50</f>
        <v>153.26657643997694</v>
      </c>
    </row>
    <row r="53" spans="1:19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</row>
    <row r="54" spans="1:1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</row>
    <row r="57" spans="1:19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</row>
    <row r="58" spans="1:1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27.6">
      <c r="A61" s="21" t="s">
        <v>108</v>
      </c>
      <c r="B61" s="22">
        <f t="shared" ref="B61:G61" si="24">B52-B56+B58-B59+B60</f>
        <v>124.79818753952378</v>
      </c>
      <c r="C61" s="22">
        <f t="shared" si="24"/>
        <v>121.39818753952378</v>
      </c>
      <c r="D61" s="22">
        <f t="shared" si="24"/>
        <v>128.82818753952378</v>
      </c>
      <c r="E61" s="22">
        <f t="shared" si="24"/>
        <v>125.82818753952378</v>
      </c>
      <c r="F61" s="76">
        <f t="shared" si="24"/>
        <v>121.22818753952379</v>
      </c>
      <c r="G61" s="76">
        <f t="shared" si="24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25">J52-J56+J58-J59+J60</f>
        <v>122.40807622317601</v>
      </c>
      <c r="K61" s="22">
        <f t="shared" si="25"/>
        <v>119.40807622317601</v>
      </c>
      <c r="L61" s="22">
        <f t="shared" ref="L61:Q61" si="26">L52-L56+L58-L59+L60</f>
        <v>127.77818753952377</v>
      </c>
      <c r="M61" s="22">
        <f t="shared" si="26"/>
        <v>124.77818753952377</v>
      </c>
      <c r="N61" s="22">
        <f t="shared" si="26"/>
        <v>117.88657643997695</v>
      </c>
      <c r="O61" s="22">
        <f t="shared" si="26"/>
        <v>114.88657643997695</v>
      </c>
      <c r="P61" s="22">
        <f t="shared" si="26"/>
        <v>127.33818753952377</v>
      </c>
      <c r="Q61" s="22">
        <f t="shared" si="26"/>
        <v>124.33818753952377</v>
      </c>
      <c r="R61" s="22">
        <f>R52-R56+R58-R59+R60</f>
        <v>122.45657643997694</v>
      </c>
      <c r="S61" s="22">
        <f>S52-S56+S58-S59+S60</f>
        <v>119.45657643997694</v>
      </c>
    </row>
    <row r="62" spans="1:19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</row>
    <row r="63" spans="1:19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</row>
    <row r="64" spans="1:19">
      <c r="A64" s="21" t="s">
        <v>97</v>
      </c>
      <c r="B64" s="22">
        <f t="shared" ref="B64:G64" si="27">B17+B22-B50+B21+B33</f>
        <v>149.83697499232716</v>
      </c>
      <c r="C64" s="22">
        <f t="shared" si="27"/>
        <v>149.43697499232715</v>
      </c>
      <c r="D64" s="22">
        <f t="shared" si="27"/>
        <v>156.81697499232715</v>
      </c>
      <c r="E64" s="22">
        <f t="shared" si="27"/>
        <v>156.81697499232715</v>
      </c>
      <c r="F64" s="76">
        <f t="shared" si="27"/>
        <v>146.26697499232716</v>
      </c>
      <c r="G64" s="76">
        <f t="shared" si="27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28">J17+J22-J50+J21+J33</f>
        <v>147.44686367597939</v>
      </c>
      <c r="K64" s="22">
        <f t="shared" si="28"/>
        <v>147.44686367597939</v>
      </c>
      <c r="L64" s="22">
        <f t="shared" ref="L64:Q64" si="29">L17+L22-L50+L21+L33</f>
        <v>152.81697499232715</v>
      </c>
      <c r="M64" s="22">
        <f t="shared" si="29"/>
        <v>152.81697499232715</v>
      </c>
      <c r="N64" s="22">
        <f t="shared" si="29"/>
        <v>142.94536389278034</v>
      </c>
      <c r="O64" s="22">
        <f t="shared" si="29"/>
        <v>142.94536389278034</v>
      </c>
      <c r="P64" s="22">
        <f t="shared" si="29"/>
        <v>152.37697499232715</v>
      </c>
      <c r="Q64" s="22">
        <f t="shared" si="29"/>
        <v>152.37697499232715</v>
      </c>
      <c r="R64" s="22">
        <f>R17+R22-R50+R21+R33</f>
        <v>147.49536389278032</v>
      </c>
      <c r="S64" s="22">
        <f>S17+S22-S50+S21+S33</f>
        <v>147.49536389278032</v>
      </c>
    </row>
    <row r="65" spans="1:1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="55" zoomScaleNormal="55" workbookViewId="0">
      <pane xSplit="1" ySplit="1" topLeftCell="B41" activePane="bottomRight" state="frozen"/>
      <selection pane="topRight"/>
      <selection pane="bottomLeft"/>
      <selection pane="bottomRight" activeCell="R7" sqref="R7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6" width="14.3984375" style="1" customWidth="1"/>
    <col min="17" max="17" width="15.398437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</row>
    <row r="10" spans="1:1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</row>
    <row r="14" spans="1:1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</row>
    <row r="15" spans="1:1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</row>
    <row r="16" spans="1:1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12">
        <f>N19+10*LOG10(N12/N14)-N20</f>
        <v>0</v>
      </c>
      <c r="O18" s="12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</row>
    <row r="29" spans="1:1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</row>
    <row r="30" spans="1:17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12">
        <f>N31+10*LOG10(N28/N13)-N32</f>
        <v>12.771212547196624</v>
      </c>
      <c r="O30" s="12">
        <f>O31+10*LOG10(O28/O13)-O32</f>
        <v>12.771212547196624</v>
      </c>
      <c r="P30" s="12">
        <f>P31+10*LOG10(P28/P13)-P32</f>
        <v>12.771212547196624</v>
      </c>
      <c r="Q30" s="12">
        <f>Q31+10*LOG10(Q28/Q13)-Q32</f>
        <v>12.771212547196624</v>
      </c>
    </row>
    <row r="31" spans="1:1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</row>
    <row r="34" spans="1:1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</row>
    <row r="38" spans="1:1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</row>
    <row r="39" spans="1:17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  <c r="P39" s="12">
        <f>10*LOG10(10^((P35+P36)/10)+10^(P37/10))</f>
        <v>-160.9583889004532</v>
      </c>
      <c r="Q39" s="12">
        <f>10*LOG10(10^((Q35+Q36)/10)+10^(Q37/10))</f>
        <v>-160.9583889004532</v>
      </c>
    </row>
    <row r="40" spans="1:17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  <c r="N41" s="12">
        <f>1*12*30*1000</f>
        <v>360000</v>
      </c>
      <c r="O41" s="12">
        <f>1*12*30*1000</f>
        <v>360000</v>
      </c>
      <c r="P41" s="12">
        <f>1*12*30*1000</f>
        <v>360000</v>
      </c>
      <c r="Q41" s="12">
        <f>1*12*30*1000</f>
        <v>360000</v>
      </c>
    </row>
    <row r="42" spans="1:1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</row>
    <row r="43" spans="1:17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  <c r="N43" s="12">
        <f>N39+10*LOG10(N41)</f>
        <v>-113.43697499232715</v>
      </c>
      <c r="O43" s="12">
        <f>O39+10*LOG10(O41)</f>
        <v>-113.43697499232715</v>
      </c>
      <c r="P43" s="12">
        <f>P39+10*LOG10(P41)</f>
        <v>-105.39536389278032</v>
      </c>
      <c r="Q43" s="12">
        <f>Q39+10*LOG10(Q41)</f>
        <v>-105.39536389278032</v>
      </c>
    </row>
    <row r="44" spans="1:1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</row>
    <row r="46" spans="1:1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27.6">
      <c r="A50" s="7" t="s">
        <v>80</v>
      </c>
      <c r="B50" s="12">
        <f t="shared" ref="B50:G50" si="12">B43+B45+B47-B48</f>
        <v>-115.03697499232715</v>
      </c>
      <c r="C50" s="12">
        <f t="shared" si="12"/>
        <v>-114.83697499232716</v>
      </c>
      <c r="D50" s="12">
        <f t="shared" si="12"/>
        <v>-120.03697499232715</v>
      </c>
      <c r="E50" s="12">
        <f t="shared" si="12"/>
        <v>-120.03697499232715</v>
      </c>
      <c r="F50" s="71">
        <f t="shared" si="12"/>
        <v>-115.29697499232715</v>
      </c>
      <c r="G50" s="71">
        <f t="shared" si="12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3">J43+J45+J47-J48</f>
        <v>-106.80536389278032</v>
      </c>
      <c r="K50" s="12">
        <f t="shared" si="13"/>
        <v>-106.80536389278032</v>
      </c>
      <c r="L50" s="12">
        <f>L43+L45+L47-L48</f>
        <v>-119.13697499232715</v>
      </c>
      <c r="M50" s="12">
        <f>M43+M45+M47-M48</f>
        <v>-119.13697499232715</v>
      </c>
      <c r="N50" s="12">
        <f>N43+N45+N47-N48</f>
        <v>-125.15697499232715</v>
      </c>
      <c r="O50" s="12">
        <f>O43+O45+O47-O48</f>
        <v>-125.15697499232715</v>
      </c>
      <c r="P50" s="12">
        <f>P43+P45+P47-P48</f>
        <v>-110.69536389278032</v>
      </c>
      <c r="Q50" s="12">
        <f>Q43+Q45+Q47-Q48</f>
        <v>-110.69536389278032</v>
      </c>
    </row>
    <row r="51" spans="1:17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</row>
    <row r="52" spans="1:17" ht="27.6">
      <c r="A52" s="21" t="s">
        <v>83</v>
      </c>
      <c r="B52" s="22">
        <f t="shared" ref="B52:G52" si="14">B25+B30+B33-B34-B50</f>
        <v>154.80818753952377</v>
      </c>
      <c r="C52" s="22">
        <f t="shared" si="14"/>
        <v>151.60818753952378</v>
      </c>
      <c r="D52" s="22">
        <f t="shared" si="14"/>
        <v>160.89818753952378</v>
      </c>
      <c r="E52" s="22">
        <f t="shared" si="14"/>
        <v>157.89818753952378</v>
      </c>
      <c r="F52" s="76">
        <f t="shared" si="14"/>
        <v>155.06818753952376</v>
      </c>
      <c r="G52" s="76">
        <f t="shared" si="14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15">J25+J30+J33-J34-J50</f>
        <v>153.62807622317601</v>
      </c>
      <c r="K52" s="22">
        <f t="shared" si="15"/>
        <v>150.62807622317601</v>
      </c>
      <c r="L52" s="22">
        <f>L25+L30+L33-L34-L50</f>
        <v>158.90818753952379</v>
      </c>
      <c r="M52" s="22">
        <f>M25+M30+M33-M34-M50</f>
        <v>155.90818753952379</v>
      </c>
      <c r="N52" s="22">
        <f>N25+N30+N33-N34-N50</f>
        <v>164.92818753952378</v>
      </c>
      <c r="O52" s="22">
        <f>O25+O30+O33-O34-O50</f>
        <v>161.92818753952378</v>
      </c>
      <c r="P52" s="22">
        <f>P25+P30+P33-P34-P50</f>
        <v>154.46657643997696</v>
      </c>
      <c r="Q52" s="22">
        <f>Q25+Q30+Q33-Q34-Q50</f>
        <v>151.46657643997696</v>
      </c>
    </row>
    <row r="53" spans="1:17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</row>
    <row r="57" spans="1:17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</row>
    <row r="58" spans="1:1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27.6">
      <c r="A61" s="21" t="s">
        <v>108</v>
      </c>
      <c r="B61" s="22">
        <f t="shared" ref="B61:G61" si="16">B52-B56+B58-B59+B60</f>
        <v>120.99818753952377</v>
      </c>
      <c r="C61" s="22">
        <f t="shared" si="16"/>
        <v>117.79818753952378</v>
      </c>
      <c r="D61" s="22">
        <f t="shared" si="16"/>
        <v>127.08818753952377</v>
      </c>
      <c r="E61" s="22">
        <f t="shared" si="16"/>
        <v>124.08818753952377</v>
      </c>
      <c r="F61" s="76">
        <f t="shared" si="16"/>
        <v>121.25818753952376</v>
      </c>
      <c r="G61" s="76">
        <f t="shared" si="16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17">J52-J56+J58-J59+J60</f>
        <v>119.81807622317601</v>
      </c>
      <c r="K61" s="22">
        <f t="shared" si="17"/>
        <v>116.81807622317601</v>
      </c>
      <c r="L61" s="22">
        <f>L52-L56+L58-L59+L60</f>
        <v>125.09818753952379</v>
      </c>
      <c r="M61" s="22">
        <f>M52-M56+M58-M59+M60</f>
        <v>122.09818753952379</v>
      </c>
      <c r="N61" s="22">
        <f>N52-N56+N58-N59+N60</f>
        <v>131.11818753952377</v>
      </c>
      <c r="O61" s="22">
        <f>O52-O56+O58-O59+O60</f>
        <v>128.11818753952377</v>
      </c>
      <c r="P61" s="22">
        <f>P52-P56+P58-P59+P60</f>
        <v>120.65657643997696</v>
      </c>
      <c r="Q61" s="22">
        <f>Q52-Q56+Q58-Q59+Q60</f>
        <v>117.65657643997696</v>
      </c>
    </row>
    <row r="62" spans="1:17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</row>
    <row r="63" spans="1:17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</row>
    <row r="64" spans="1:17">
      <c r="A64" s="21" t="s">
        <v>97</v>
      </c>
      <c r="B64" s="22">
        <f t="shared" ref="B64:G64" si="18">B17+B22-B50+B21+B33</f>
        <v>146.03697499232715</v>
      </c>
      <c r="C64" s="22">
        <f t="shared" si="18"/>
        <v>145.83697499232716</v>
      </c>
      <c r="D64" s="22">
        <f t="shared" si="18"/>
        <v>155.07697499232714</v>
      </c>
      <c r="E64" s="22">
        <f t="shared" si="18"/>
        <v>155.07697499232714</v>
      </c>
      <c r="F64" s="76">
        <f t="shared" si="18"/>
        <v>146.29697499232714</v>
      </c>
      <c r="G64" s="76">
        <f t="shared" si="18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19">J17+J22-J50+J21+J33</f>
        <v>144.85686367597938</v>
      </c>
      <c r="K64" s="22">
        <f t="shared" si="19"/>
        <v>144.85686367597938</v>
      </c>
      <c r="L64" s="22">
        <f>L17+L22-L50+L21+L33</f>
        <v>150.13697499232717</v>
      </c>
      <c r="M64" s="22">
        <f>M17+M22-M50+M21+M33</f>
        <v>150.13697499232717</v>
      </c>
      <c r="N64" s="22">
        <f>N17+N22-N50+N21+N33</f>
        <v>156.15697499232715</v>
      </c>
      <c r="O64" s="22">
        <f>O17+O22-O50+O21+O33</f>
        <v>156.15697499232715</v>
      </c>
      <c r="P64" s="22">
        <f>P17+P22-P50+P21+P33</f>
        <v>145.69536389278034</v>
      </c>
      <c r="Q64" s="22">
        <f>Q17+Q22-Q50+Q21+Q33</f>
        <v>145.69536389278034</v>
      </c>
    </row>
    <row r="65" spans="1:1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="55" zoomScaleNormal="55" workbookViewId="0">
      <pane xSplit="1" ySplit="1" topLeftCell="B47" activePane="bottomRight" state="frozen"/>
      <selection pane="topRight"/>
      <selection pane="bottomLeft"/>
      <selection pane="bottomRight" activeCell="N69" sqref="N69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7" width="13.1992187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</row>
    <row r="10" spans="1:1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</row>
    <row r="14" spans="1:17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</row>
    <row r="15" spans="1:1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</row>
    <row r="16" spans="1:1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8">
        <f>N19+10*LOG10(N12/N14)-N20</f>
        <v>0</v>
      </c>
      <c r="O18" s="8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</row>
    <row r="29" spans="1:17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</row>
    <row r="30" spans="1:17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8">
        <f>N31+10*LOG10(N28/N13)-N32</f>
        <v>12.771212547196624</v>
      </c>
      <c r="O30" s="8">
        <f>O31+10*LOG10(O28/O13)-O32</f>
        <v>12.771212547196624</v>
      </c>
      <c r="P30" s="12">
        <f>P31+10*LOG10(P28/P13)-P32</f>
        <v>12.771212547196624</v>
      </c>
      <c r="Q30" s="12">
        <f>Q31+10*LOG10(Q28/Q13)-Q32</f>
        <v>12.771212547196624</v>
      </c>
    </row>
    <row r="31" spans="1:1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</row>
    <row r="34" spans="1:17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</row>
    <row r="38" spans="1:17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</row>
    <row r="39" spans="1:17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  <c r="P39" s="12">
        <f>10*LOG10(10^((P35+P36)/10)+10^(P37/10))</f>
        <v>-160.9583889004532</v>
      </c>
      <c r="Q39" s="12">
        <f>10*LOG10(10^((Q35+Q36)/10)+10^(Q37/10))</f>
        <v>-160.9583889004532</v>
      </c>
    </row>
    <row r="40" spans="1:17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  <c r="N41" s="8">
        <f>1*12*30*1000</f>
        <v>360000</v>
      </c>
      <c r="O41" s="8">
        <f>1*12*30*1000</f>
        <v>360000</v>
      </c>
      <c r="P41" s="12">
        <f>1*12*30*1000</f>
        <v>360000</v>
      </c>
      <c r="Q41" s="12">
        <f>1*12*30*1000</f>
        <v>360000</v>
      </c>
    </row>
    <row r="42" spans="1:17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</row>
    <row r="43" spans="1:17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  <c r="N43" s="8">
        <f>N39+10*LOG10(N41)</f>
        <v>-105.39536389278032</v>
      </c>
      <c r="O43" s="8">
        <f>O39+10*LOG10(O41)</f>
        <v>-105.39536389278032</v>
      </c>
      <c r="P43" s="12">
        <f>P39+10*LOG10(P41)</f>
        <v>-105.39536389278032</v>
      </c>
      <c r="Q43" s="12">
        <f>Q39+10*LOG10(Q41)</f>
        <v>-105.39536389278032</v>
      </c>
    </row>
    <row r="44" spans="1:1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</row>
    <row r="46" spans="1:17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27.6">
      <c r="A50" s="7" t="s">
        <v>80</v>
      </c>
      <c r="B50" s="12">
        <f t="shared" ref="B50:G50" si="12">B43+B45+B47-B48</f>
        <v>-112.03697499232715</v>
      </c>
      <c r="C50" s="12">
        <f t="shared" si="12"/>
        <v>-111.53697499232715</v>
      </c>
      <c r="D50" s="12">
        <f t="shared" si="12"/>
        <v>-117.51697499232715</v>
      </c>
      <c r="E50" s="12">
        <f t="shared" si="12"/>
        <v>-117.51697499232715</v>
      </c>
      <c r="F50" s="71">
        <f t="shared" si="12"/>
        <v>-115.42697499232715</v>
      </c>
      <c r="G50" s="71">
        <f t="shared" si="12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3">J43+J45+J47-J48</f>
        <v>-104.25306389278032</v>
      </c>
      <c r="K50" s="12">
        <f t="shared" si="13"/>
        <v>-104.25306389278032</v>
      </c>
      <c r="L50" s="12">
        <f>L43+L45+L47-L48</f>
        <v>-117.43697499232715</v>
      </c>
      <c r="M50" s="12">
        <f>M43+M45+M47-M48</f>
        <v>-117.43697499232715</v>
      </c>
      <c r="N50" s="8">
        <f>N43+N45+N47-N48</f>
        <v>-103.39536389278032</v>
      </c>
      <c r="O50" s="8">
        <f>O43+O45+O47-O48</f>
        <v>-103.39536389278032</v>
      </c>
      <c r="P50" s="12">
        <f>P43+P45+P47-P48</f>
        <v>-108.57536389278033</v>
      </c>
      <c r="Q50" s="12">
        <f>Q43+Q45+Q47-Q48</f>
        <v>-108.57536389278033</v>
      </c>
    </row>
    <row r="51" spans="1:17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</row>
    <row r="52" spans="1:17" ht="27.6">
      <c r="A52" s="21" t="s">
        <v>83</v>
      </c>
      <c r="B52" s="22">
        <f t="shared" ref="B52:G52" si="14">B25+B30+B33-B34-B50</f>
        <v>151.80818753952377</v>
      </c>
      <c r="C52" s="22">
        <f t="shared" si="14"/>
        <v>148.30818753952377</v>
      </c>
      <c r="D52" s="22">
        <f t="shared" si="14"/>
        <v>158.37818753952376</v>
      </c>
      <c r="E52" s="22">
        <f t="shared" si="14"/>
        <v>155.37818753952376</v>
      </c>
      <c r="F52" s="76">
        <f t="shared" si="14"/>
        <v>155.19818753952376</v>
      </c>
      <c r="G52" s="76">
        <f t="shared" si="14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15">J25+J30+J33-J34-J50</f>
        <v>151.07577622317601</v>
      </c>
      <c r="K52" s="22">
        <f t="shared" si="15"/>
        <v>148.07577622317601</v>
      </c>
      <c r="L52" s="22">
        <f>L25+L30+L33-L34-L50</f>
        <v>157.20818753952378</v>
      </c>
      <c r="M52" s="22">
        <f>M25+M30+M33-M34-M50</f>
        <v>154.20818753952378</v>
      </c>
      <c r="N52" s="22">
        <f>N25+N30+N33-N34-N50</f>
        <v>150.21657643997696</v>
      </c>
      <c r="O52" s="22">
        <f>O25+O30+O33-O34-O50</f>
        <v>147.21657643997696</v>
      </c>
      <c r="P52" s="22">
        <f>P25+P30+P33-P34-P50</f>
        <v>152.34657643997696</v>
      </c>
      <c r="Q52" s="22">
        <f>Q25+Q30+Q33-Q34-Q50</f>
        <v>149.34657643997696</v>
      </c>
    </row>
    <row r="53" spans="1:17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</row>
    <row r="57" spans="1:17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</row>
    <row r="58" spans="1:17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27.6">
      <c r="A61" s="21" t="s">
        <v>108</v>
      </c>
      <c r="B61" s="22">
        <f t="shared" ref="B61:G61" si="16">B52-B56+B58-B59+B60</f>
        <v>117.99818753952377</v>
      </c>
      <c r="C61" s="22">
        <f t="shared" si="16"/>
        <v>114.49818753952377</v>
      </c>
      <c r="D61" s="22">
        <f t="shared" si="16"/>
        <v>124.56818753952376</v>
      </c>
      <c r="E61" s="22">
        <f t="shared" si="16"/>
        <v>121.56818753952376</v>
      </c>
      <c r="F61" s="76">
        <f t="shared" si="16"/>
        <v>121.38818753952376</v>
      </c>
      <c r="G61" s="76">
        <f t="shared" si="16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17">J52-J56+J58-J59+J60</f>
        <v>117.265776223176</v>
      </c>
      <c r="K61" s="22">
        <f t="shared" si="17"/>
        <v>114.265776223176</v>
      </c>
      <c r="L61" s="22">
        <f>L52-L56+L58-L59+L60</f>
        <v>123.39818753952378</v>
      </c>
      <c r="M61" s="22">
        <f>M52-M56+M58-M59+M60</f>
        <v>120.39818753952378</v>
      </c>
      <c r="N61" s="22">
        <f>N52-N56+N58-N59+N60</f>
        <v>116.38657643997695</v>
      </c>
      <c r="O61" s="22">
        <f>O52-O56+O58-O59+O60</f>
        <v>113.38657643997695</v>
      </c>
      <c r="P61" s="22">
        <f>P52-P56+P58-P59+P60</f>
        <v>118.53657643997695</v>
      </c>
      <c r="Q61" s="22">
        <f>Q52-Q56+Q58-Q59+Q60</f>
        <v>115.53657643997695</v>
      </c>
    </row>
    <row r="62" spans="1:17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</row>
    <row r="63" spans="1:17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</row>
    <row r="64" spans="1:17">
      <c r="A64" s="21" t="s">
        <v>97</v>
      </c>
      <c r="B64" s="22">
        <f t="shared" ref="B64:G64" si="18">B17+B22-B50+B21+B33</f>
        <v>143.03697499232715</v>
      </c>
      <c r="C64" s="22">
        <f t="shared" si="18"/>
        <v>142.53697499232715</v>
      </c>
      <c r="D64" s="22">
        <f t="shared" si="18"/>
        <v>152.55697499232716</v>
      </c>
      <c r="E64" s="22">
        <f t="shared" si="18"/>
        <v>152.55697499232716</v>
      </c>
      <c r="F64" s="76">
        <f t="shared" si="18"/>
        <v>146.42697499232713</v>
      </c>
      <c r="G64" s="76">
        <f t="shared" si="18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19">J17+J22-J50+J21+J33</f>
        <v>142.30456367597938</v>
      </c>
      <c r="K64" s="22">
        <f t="shared" si="19"/>
        <v>142.30456367597938</v>
      </c>
      <c r="L64" s="22">
        <f>L17+L22-L50+L21+L33</f>
        <v>148.43697499232715</v>
      </c>
      <c r="M64" s="22">
        <f>M17+M22-M50+M21+M33</f>
        <v>148.43697499232715</v>
      </c>
      <c r="N64" s="22">
        <f>N17+N22-N50+N21+N33</f>
        <v>141.44536389278034</v>
      </c>
      <c r="O64" s="22">
        <f>O17+O22-O50+O21+O33</f>
        <v>141.44536389278034</v>
      </c>
      <c r="P64" s="22">
        <f>P17+P22-P50+P21+P33</f>
        <v>143.57536389278033</v>
      </c>
      <c r="Q64" s="22">
        <f>Q17+Q22-Q50+Q21+Q33</f>
        <v>143.57536389278033</v>
      </c>
    </row>
    <row r="65" spans="1:17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55" zoomScaleNormal="55" workbookViewId="0">
      <pane xSplit="1" ySplit="1" topLeftCell="I32" activePane="bottomRight" state="frozen"/>
      <selection pane="topRight"/>
      <selection pane="bottomLeft"/>
      <selection pane="bottomRight" activeCell="T1" sqref="T1:U65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4.59765625" style="1" customWidth="1"/>
    <col min="15" max="15" width="13.1992187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4.296875" style="1" customWidth="1"/>
    <col min="21" max="21" width="15.898437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</row>
    <row r="7" spans="1:2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</row>
    <row r="9" spans="1:21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</row>
    <row r="14" spans="1:2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  <c r="T26" s="8">
        <f>T17+T18+T21-T23-T24</f>
        <v>22</v>
      </c>
      <c r="U26" s="8">
        <f>U17+U18+U21-U23-U24</f>
        <v>19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</row>
    <row r="29" spans="1:2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</row>
    <row r="30" spans="1:21" ht="41.4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</row>
    <row r="33" spans="1:21" ht="27.6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</row>
    <row r="34" spans="1:2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</row>
    <row r="37" spans="1:21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</row>
    <row r="38" spans="1:21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</row>
    <row r="39" spans="1:21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7.6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</row>
    <row r="41" spans="1:21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</row>
    <row r="42" spans="1:21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2">30*360*1000</f>
        <v>10800000</v>
      </c>
      <c r="G42" s="74">
        <f t="shared" si="12"/>
        <v>10800000</v>
      </c>
      <c r="H42" s="16">
        <f t="shared" si="12"/>
        <v>10800000</v>
      </c>
      <c r="I42" s="16">
        <f t="shared" si="12"/>
        <v>10800000</v>
      </c>
      <c r="J42" s="16">
        <f t="shared" si="12"/>
        <v>10800000</v>
      </c>
      <c r="K42" s="16">
        <f t="shared" si="12"/>
        <v>10800000</v>
      </c>
      <c r="L42" s="16">
        <f t="shared" ref="L42:Q42" si="13">30*360*1000</f>
        <v>10800000</v>
      </c>
      <c r="M42" s="16">
        <f t="shared" si="13"/>
        <v>10800000</v>
      </c>
      <c r="N42" s="16">
        <f t="shared" si="13"/>
        <v>10800000</v>
      </c>
      <c r="O42" s="16">
        <f t="shared" si="13"/>
        <v>10800000</v>
      </c>
      <c r="P42" s="16">
        <f t="shared" si="13"/>
        <v>10800000</v>
      </c>
      <c r="Q42" s="16">
        <f t="shared" si="13"/>
        <v>10800000</v>
      </c>
      <c r="R42" s="16">
        <f>30*360*1000</f>
        <v>10800000</v>
      </c>
      <c r="S42" s="16">
        <f>30*360*1000</f>
        <v>10800000</v>
      </c>
      <c r="T42" s="16">
        <f>30*360*1000</f>
        <v>10800000</v>
      </c>
      <c r="U42" s="16">
        <f>30*360*1000</f>
        <v>10800000</v>
      </c>
    </row>
    <row r="43" spans="1:21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</row>
    <row r="44" spans="1:21">
      <c r="A44" s="7" t="s">
        <v>72</v>
      </c>
      <c r="B44" s="12">
        <f t="shared" ref="B44:G44" si="14">B40+10*LOG10(B42)</f>
        <v>-98.66576244513054</v>
      </c>
      <c r="C44" s="12">
        <f t="shared" si="14"/>
        <v>-98.66576244513054</v>
      </c>
      <c r="D44" s="12">
        <f t="shared" si="14"/>
        <v>-98.251835593548279</v>
      </c>
      <c r="E44" s="12">
        <f t="shared" si="14"/>
        <v>-98.251835593548279</v>
      </c>
      <c r="F44" s="71">
        <f t="shared" si="14"/>
        <v>-98.66576244513054</v>
      </c>
      <c r="G44" s="71">
        <f t="shared" si="1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5">J40+10*LOG10(J42)</f>
        <v>-93.699285520497185</v>
      </c>
      <c r="K44" s="12">
        <f t="shared" si="15"/>
        <v>-93.699285520497185</v>
      </c>
      <c r="L44" s="12">
        <f t="shared" ref="L44:Q44" si="16">L40+10*LOG10(L42)</f>
        <v>-98.66576244513054</v>
      </c>
      <c r="M44" s="12">
        <f t="shared" si="16"/>
        <v>-98.66576244513054</v>
      </c>
      <c r="N44" s="8">
        <f t="shared" si="16"/>
        <v>-98.66576244513054</v>
      </c>
      <c r="O44" s="8">
        <f t="shared" si="16"/>
        <v>-98.66576244513054</v>
      </c>
      <c r="P44" s="8">
        <f t="shared" si="16"/>
        <v>-93.699285520497185</v>
      </c>
      <c r="Q44" s="8">
        <f t="shared" si="16"/>
        <v>-93.699285520497185</v>
      </c>
      <c r="R44" s="12">
        <f>R40+10*LOG10(R42)</f>
        <v>-98.66576244513054</v>
      </c>
      <c r="S44" s="12">
        <f>S40+10*LOG10(S42)</f>
        <v>-98.66576244513054</v>
      </c>
      <c r="T44" s="12">
        <f>T40+10*LOG10(T42)</f>
        <v>-93.699285520497185</v>
      </c>
      <c r="U44" s="12">
        <f>U40+10*LOG10(U42)</f>
        <v>-93.699285520497185</v>
      </c>
    </row>
    <row r="45" spans="1:21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</row>
    <row r="46" spans="1:21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7.6">
      <c r="A51" s="7" t="s">
        <v>82</v>
      </c>
      <c r="B51" s="12">
        <f t="shared" ref="B51:G51" si="17">B44+B46+B47-B49</f>
        <v>-95.66576244513054</v>
      </c>
      <c r="C51" s="12">
        <f t="shared" si="17"/>
        <v>-95.66576244513054</v>
      </c>
      <c r="D51" s="12">
        <f t="shared" si="17"/>
        <v>-101.10183559354827</v>
      </c>
      <c r="E51" s="12">
        <f t="shared" si="17"/>
        <v>-101.10183559354827</v>
      </c>
      <c r="F51" s="71">
        <f t="shared" si="17"/>
        <v>-101.36576244513054</v>
      </c>
      <c r="G51" s="71">
        <f t="shared" si="17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8">J44+J46+J47-J49</f>
        <v>-90.949285520497185</v>
      </c>
      <c r="K51" s="12">
        <f t="shared" si="18"/>
        <v>-91.139285520497182</v>
      </c>
      <c r="L51" s="12">
        <f t="shared" ref="L51:Q51" si="19">L44+L46+L47-L49</f>
        <v>-102.96576244513054</v>
      </c>
      <c r="M51" s="12">
        <f t="shared" si="19"/>
        <v>-102.96576244513054</v>
      </c>
      <c r="N51" s="8">
        <f t="shared" si="19"/>
        <v>-107.86576244513054</v>
      </c>
      <c r="O51" s="8">
        <f t="shared" si="19"/>
        <v>-107.86576244513054</v>
      </c>
      <c r="P51" s="8">
        <f t="shared" si="19"/>
        <v>-91.799285520497179</v>
      </c>
      <c r="Q51" s="8">
        <f t="shared" si="19"/>
        <v>-91.799285520497179</v>
      </c>
      <c r="R51" s="12">
        <f>R44+R46+R47-R49</f>
        <v>-101.96576244513054</v>
      </c>
      <c r="S51" s="12">
        <f>S44+S46+S47-S49</f>
        <v>-101.96576244513054</v>
      </c>
      <c r="T51" s="12">
        <f>T44+T46+T47-T49</f>
        <v>-95.999285520497182</v>
      </c>
      <c r="U51" s="12">
        <f>U44+U46+U47-U49</f>
        <v>-95.999285520497182</v>
      </c>
    </row>
    <row r="52" spans="1:21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</row>
    <row r="53" spans="1:21" ht="27.6">
      <c r="A53" s="29" t="s">
        <v>85</v>
      </c>
      <c r="B53" s="22">
        <f t="shared" ref="B53:G53" si="20">B26+B30+B33-B34-B51</f>
        <v>139.43697499232718</v>
      </c>
      <c r="C53" s="22">
        <f t="shared" si="20"/>
        <v>136.43697499232718</v>
      </c>
      <c r="D53" s="22">
        <f t="shared" si="20"/>
        <v>141.96304814074489</v>
      </c>
      <c r="E53" s="22">
        <f t="shared" si="20"/>
        <v>138.96304814074489</v>
      </c>
      <c r="F53" s="76">
        <f t="shared" si="20"/>
        <v>145.13697499232717</v>
      </c>
      <c r="G53" s="76">
        <f t="shared" si="20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1">J26+J30+J33-J34-J51</f>
        <v>137.77199785089289</v>
      </c>
      <c r="K53" s="22">
        <f t="shared" si="21"/>
        <v>134.96199785089289</v>
      </c>
      <c r="L53" s="22">
        <f t="shared" ref="L53:Q53" si="22">L26+L30+L33-L34-L51</f>
        <v>146.73697499232716</v>
      </c>
      <c r="M53" s="22">
        <f t="shared" si="22"/>
        <v>143.73697499232716</v>
      </c>
      <c r="N53" s="22">
        <f t="shared" si="22"/>
        <v>151.63697499232717</v>
      </c>
      <c r="O53" s="22">
        <f t="shared" si="22"/>
        <v>148.63697499232717</v>
      </c>
      <c r="P53" s="22">
        <f t="shared" si="22"/>
        <v>138.6204980676938</v>
      </c>
      <c r="Q53" s="22">
        <f t="shared" si="22"/>
        <v>135.6204980676938</v>
      </c>
      <c r="R53" s="22">
        <f>R26+R30+R33-R34-R51</f>
        <v>145.73697499232716</v>
      </c>
      <c r="S53" s="22">
        <f>S26+S30+S33-S34-S51</f>
        <v>142.73697499232716</v>
      </c>
      <c r="T53" s="22">
        <f>T26+T30+T33-T34-T51</f>
        <v>139.77049806769381</v>
      </c>
      <c r="U53" s="22">
        <f>U26+U30+U33-U34-U51</f>
        <v>136.77049806769381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</row>
    <row r="57" spans="1:21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</row>
    <row r="58" spans="1:2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</row>
    <row r="60" spans="1:2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</row>
    <row r="62" spans="1:21" ht="27.6">
      <c r="A62" s="29" t="s">
        <v>109</v>
      </c>
      <c r="B62" s="22">
        <f t="shared" ref="B62:G62" si="23">B53-B57+B58-B59+B60</f>
        <v>108.70697499232719</v>
      </c>
      <c r="C62" s="22">
        <f t="shared" si="23"/>
        <v>105.70697499232719</v>
      </c>
      <c r="D62" s="22">
        <f t="shared" si="23"/>
        <v>111.2330481407449</v>
      </c>
      <c r="E62" s="22">
        <f t="shared" si="23"/>
        <v>108.2330481407449</v>
      </c>
      <c r="F62" s="76">
        <f t="shared" si="23"/>
        <v>114.40697499232718</v>
      </c>
      <c r="G62" s="76">
        <f t="shared" si="23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24">J53-J57+J58-J59+J60</f>
        <v>107.0419978508929</v>
      </c>
      <c r="K62" s="22">
        <f t="shared" si="24"/>
        <v>104.2319978508929</v>
      </c>
      <c r="L62" s="22">
        <f t="shared" ref="L62:Q62" si="25">L53-L57+L58-L59+L60</f>
        <v>116.00697499232717</v>
      </c>
      <c r="M62" s="22">
        <f t="shared" si="25"/>
        <v>113.00697499232717</v>
      </c>
      <c r="N62" s="22">
        <f t="shared" si="25"/>
        <v>120.90697499232718</v>
      </c>
      <c r="O62" s="22">
        <f t="shared" si="25"/>
        <v>117.90697499232718</v>
      </c>
      <c r="P62" s="22">
        <f t="shared" si="25"/>
        <v>107.89049806769381</v>
      </c>
      <c r="Q62" s="22">
        <f t="shared" si="25"/>
        <v>104.89049806769381</v>
      </c>
      <c r="R62" s="22">
        <f>R53-R57+R58-R59+R60</f>
        <v>115.00697499232717</v>
      </c>
      <c r="S62" s="22">
        <f>S53-S57+S58-S59+S60</f>
        <v>112.00697499232717</v>
      </c>
      <c r="T62" s="22">
        <f>T53-T57+T58-T59+T60</f>
        <v>109.04049806769382</v>
      </c>
      <c r="U62" s="22">
        <f>U53-U57+U58-U59+U60</f>
        <v>106.04049806769382</v>
      </c>
    </row>
    <row r="63" spans="1:21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</row>
    <row r="64" spans="1:21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</row>
    <row r="65" spans="1:21">
      <c r="A65" s="29" t="s">
        <v>98</v>
      </c>
      <c r="B65" s="22">
        <f t="shared" ref="B65:G65" si="26">B17-B23-B51+B21+B33</f>
        <v>130.66576244513055</v>
      </c>
      <c r="C65" s="22">
        <f t="shared" si="26"/>
        <v>130.66576244513055</v>
      </c>
      <c r="D65" s="22">
        <f t="shared" si="26"/>
        <v>136.14183559354828</v>
      </c>
      <c r="E65" s="22">
        <f t="shared" si="26"/>
        <v>136.14183559354828</v>
      </c>
      <c r="F65" s="76">
        <f t="shared" si="26"/>
        <v>136.36576244513054</v>
      </c>
      <c r="G65" s="76">
        <f t="shared" si="26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27">J17-J23-J51+J21+J33</f>
        <v>129.00078530369623</v>
      </c>
      <c r="K65" s="22">
        <f t="shared" si="27"/>
        <v>129.19078530369623</v>
      </c>
      <c r="L65" s="22">
        <f t="shared" ref="L65:Q65" si="28">L17-L23-L51+L21+L33</f>
        <v>137.96576244513054</v>
      </c>
      <c r="M65" s="22">
        <f t="shared" si="28"/>
        <v>137.96576244513054</v>
      </c>
      <c r="N65" s="22">
        <f t="shared" si="28"/>
        <v>142.86576244513054</v>
      </c>
      <c r="O65" s="22">
        <f t="shared" si="28"/>
        <v>142.86576244513054</v>
      </c>
      <c r="P65" s="22">
        <f t="shared" si="28"/>
        <v>129.84928552049718</v>
      </c>
      <c r="Q65" s="22">
        <f t="shared" si="28"/>
        <v>129.84928552049718</v>
      </c>
      <c r="R65" s="22">
        <f>R17-R23-R51+R21+R33</f>
        <v>136.96576244513054</v>
      </c>
      <c r="S65" s="22">
        <f>S17-S23-S51+S21+S33</f>
        <v>136.96576244513054</v>
      </c>
      <c r="T65" s="22">
        <f>T17-T23-T51+T21+T33</f>
        <v>130.99928552049718</v>
      </c>
      <c r="U65" s="22">
        <f>U17-U23-U51+U21+U33</f>
        <v>130.99928552049718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85" zoomScaleNormal="85" workbookViewId="0">
      <pane xSplit="1" ySplit="1" topLeftCell="V53" activePane="bottomRight" state="frozen"/>
      <selection pane="topRight"/>
      <selection pane="bottomLeft"/>
      <selection pane="bottomRight" activeCell="AB2" sqref="AB1:AD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984375" style="1" customWidth="1"/>
    <col min="21" max="21" width="14.6992187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7.19921875" style="1" customWidth="1"/>
    <col min="31" max="16384" width="9" style="1"/>
  </cols>
  <sheetData>
    <row r="1" spans="1:30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</row>
    <row r="2" spans="1:3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</row>
    <row r="3" spans="1:30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</row>
    <row r="4" spans="1:30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</row>
    <row r="5" spans="1:3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</row>
    <row r="6" spans="1:30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</row>
    <row r="7" spans="1:30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</row>
    <row r="8" spans="1:30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</row>
    <row r="9" spans="1:30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</row>
    <row r="10" spans="1:3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</row>
    <row r="11" spans="1:30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</row>
    <row r="13" spans="1:30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</row>
    <row r="14" spans="1:30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</row>
    <row r="15" spans="1:30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</row>
    <row r="16" spans="1:30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</row>
    <row r="17" spans="1:30" ht="27.6">
      <c r="A17" s="7" t="s">
        <v>35</v>
      </c>
      <c r="B17" s="12">
        <f t="shared" ref="B17:I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>
        <f t="shared" si="4"/>
        <v>45.375437381428746</v>
      </c>
      <c r="G17" s="71">
        <f t="shared" si="4"/>
        <v>45.375437381428746</v>
      </c>
      <c r="H17" s="71">
        <f t="shared" si="4"/>
        <v>45.375437381428746</v>
      </c>
      <c r="I17" s="71">
        <f t="shared" si="4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5">M15+10*LOG10(M41/1000000)</f>
        <v>45.375437381428746</v>
      </c>
      <c r="N17" s="12">
        <f t="shared" si="5"/>
        <v>45.375437381428746</v>
      </c>
      <c r="O17" s="12">
        <f t="shared" si="5"/>
        <v>45.375437381428746</v>
      </c>
      <c r="P17" s="12">
        <f t="shared" ref="P17:U17" si="6">P15+10*LOG10(P41/1000000)</f>
        <v>45.375437381428746</v>
      </c>
      <c r="Q17" s="12">
        <f t="shared" si="6"/>
        <v>45.375437381428746</v>
      </c>
      <c r="R17" s="12">
        <f t="shared" si="6"/>
        <v>45.375437381428746</v>
      </c>
      <c r="S17" s="8">
        <f t="shared" si="6"/>
        <v>45.375437381428746</v>
      </c>
      <c r="T17" s="8">
        <f t="shared" si="6"/>
        <v>45.375437381428746</v>
      </c>
      <c r="U17" s="8">
        <f t="shared" si="6"/>
        <v>45.375437381428746</v>
      </c>
      <c r="V17" s="8">
        <f t="shared" ref="V17:AA17" si="7">V15+10*LOG10(V41/1000000)</f>
        <v>45.375437381428746</v>
      </c>
      <c r="W17" s="8">
        <f t="shared" si="7"/>
        <v>45.375437381428746</v>
      </c>
      <c r="X17" s="8">
        <f t="shared" si="7"/>
        <v>45.375437381428746</v>
      </c>
      <c r="Y17" s="12">
        <f t="shared" si="7"/>
        <v>45.375437381428746</v>
      </c>
      <c r="Z17" s="12">
        <f t="shared" si="7"/>
        <v>45.375437381428746</v>
      </c>
      <c r="AA17" s="12">
        <f t="shared" si="7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</row>
    <row r="18" spans="1:30" ht="41.4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</row>
    <row r="19" spans="1:3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</row>
    <row r="20" spans="1:30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</row>
    <row r="21" spans="1:30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</row>
    <row r="22" spans="1:3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</row>
    <row r="23" spans="1:3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</row>
    <row r="24" spans="1:30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</row>
    <row r="25" spans="1:30">
      <c r="A25" s="7" t="s">
        <v>49</v>
      </c>
      <c r="B25" s="12">
        <f t="shared" ref="B25:I25" si="13">B17+B18+B21+B22-B24</f>
        <v>63.146649928625379</v>
      </c>
      <c r="C25" s="12">
        <f t="shared" si="13"/>
        <v>63.146649928625379</v>
      </c>
      <c r="D25" s="12">
        <f t="shared" si="13"/>
        <v>63.146649928625379</v>
      </c>
      <c r="E25" s="12">
        <f t="shared" si="13"/>
        <v>53.806649928625369</v>
      </c>
      <c r="F25" s="12">
        <f t="shared" si="13"/>
        <v>53.806649928625369</v>
      </c>
      <c r="G25" s="71">
        <f t="shared" si="13"/>
        <v>63.146649928625379</v>
      </c>
      <c r="H25" s="71">
        <f t="shared" si="13"/>
        <v>63.146649928625379</v>
      </c>
      <c r="I25" s="71">
        <f t="shared" si="13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4">M17+M18+M21+M22-M24</f>
        <v>59.548149711824436</v>
      </c>
      <c r="N25" s="12">
        <f t="shared" si="14"/>
        <v>59.548149711824436</v>
      </c>
      <c r="O25" s="12">
        <f t="shared" si="14"/>
        <v>59.548149711824436</v>
      </c>
      <c r="P25" s="12">
        <f t="shared" ref="P25:U25" si="15">P17+P18+P21+P22-P24</f>
        <v>63.146649928625379</v>
      </c>
      <c r="Q25" s="12">
        <f t="shared" si="15"/>
        <v>63.146649928625379</v>
      </c>
      <c r="R25" s="12">
        <f t="shared" si="15"/>
        <v>63.146649928625379</v>
      </c>
      <c r="S25" s="8">
        <f t="shared" si="15"/>
        <v>65.146649928625379</v>
      </c>
      <c r="T25" s="8">
        <f t="shared" si="15"/>
        <v>65.146649928625379</v>
      </c>
      <c r="U25" s="8">
        <f t="shared" si="15"/>
        <v>65.146649928625379</v>
      </c>
      <c r="V25" s="8">
        <f t="shared" ref="V25:AA25" si="16">V17+V18+V21+V22-V24</f>
        <v>70.196649928625376</v>
      </c>
      <c r="W25" s="8">
        <f t="shared" si="16"/>
        <v>70.196649928625376</v>
      </c>
      <c r="X25" s="8">
        <f t="shared" si="16"/>
        <v>70.196649928625376</v>
      </c>
      <c r="Y25" s="12">
        <f t="shared" si="16"/>
        <v>63.146649928625379</v>
      </c>
      <c r="Z25" s="12">
        <f t="shared" si="16"/>
        <v>63.146649928625379</v>
      </c>
      <c r="AA25" s="12">
        <f t="shared" si="16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</row>
    <row r="26" spans="1:30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</row>
    <row r="27" spans="1:30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</row>
    <row r="29" spans="1:30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</row>
    <row r="30" spans="1:30" ht="41.4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</row>
    <row r="31" spans="1:3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</row>
    <row r="32" spans="1:30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</row>
    <row r="33" spans="1:30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</row>
    <row r="34" spans="1:30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</row>
    <row r="35" spans="1:3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</row>
    <row r="36" spans="1:3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</row>
    <row r="37" spans="1:30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</row>
    <row r="38" spans="1:30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</row>
    <row r="39" spans="1:30" ht="27.6">
      <c r="A39" s="7" t="s">
        <v>106</v>
      </c>
      <c r="B39" s="12">
        <f t="shared" ref="B39:I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>
        <f t="shared" si="21"/>
        <v>-167.00000000000003</v>
      </c>
      <c r="G39" s="71">
        <f t="shared" si="21"/>
        <v>-167.00000000000003</v>
      </c>
      <c r="H39" s="71">
        <f t="shared" si="21"/>
        <v>-167.00000000000003</v>
      </c>
      <c r="I39" s="71">
        <f t="shared" si="2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22">10*LOG10(10^((M35+M36)/10)+10^(M37/10))</f>
        <v>-164.98918835931039</v>
      </c>
      <c r="N39" s="12">
        <f t="shared" si="22"/>
        <v>-164.98918835931039</v>
      </c>
      <c r="O39" s="12">
        <f t="shared" si="22"/>
        <v>-164.98918835931039</v>
      </c>
      <c r="P39" s="12">
        <f t="shared" ref="P39:U39" si="23">10*LOG10(10^((P35+P36)/10)+10^(P37/10))</f>
        <v>-167.00000000000003</v>
      </c>
      <c r="Q39" s="12">
        <f t="shared" si="23"/>
        <v>-167.00000000000003</v>
      </c>
      <c r="R39" s="12">
        <f t="shared" si="23"/>
        <v>-167.00000000000003</v>
      </c>
      <c r="S39" s="8">
        <f t="shared" si="23"/>
        <v>-167.00000000000003</v>
      </c>
      <c r="T39" s="8">
        <f t="shared" si="23"/>
        <v>-167.00000000000003</v>
      </c>
      <c r="U39" s="8">
        <f t="shared" si="23"/>
        <v>-167.00000000000003</v>
      </c>
      <c r="V39" s="8">
        <f t="shared" ref="V39:AA39" si="24">10*LOG10(10^((V35+V36)/10)+10^(V37/10))</f>
        <v>-164.98918835931039</v>
      </c>
      <c r="W39" s="8">
        <f t="shared" si="24"/>
        <v>-164.98918835931039</v>
      </c>
      <c r="X39" s="8">
        <f t="shared" si="24"/>
        <v>-164.98918835931039</v>
      </c>
      <c r="Y39" s="12">
        <f t="shared" si="24"/>
        <v>-167.00000000000003</v>
      </c>
      <c r="Z39" s="12">
        <f t="shared" si="24"/>
        <v>-167.00000000000003</v>
      </c>
      <c r="AA39" s="12">
        <f t="shared" si="24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</row>
    <row r="40" spans="1:30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</row>
    <row r="41" spans="1:30">
      <c r="A41" s="20" t="s">
        <v>68</v>
      </c>
      <c r="B41" s="12">
        <f t="shared" ref="B41:I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>
        <f t="shared" si="25"/>
        <v>17280000</v>
      </c>
      <c r="G41" s="71">
        <f t="shared" si="25"/>
        <v>17280000</v>
      </c>
      <c r="H41" s="71">
        <f t="shared" si="25"/>
        <v>17280000</v>
      </c>
      <c r="I41" s="71">
        <f t="shared" si="25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26">48*360*1000</f>
        <v>17280000</v>
      </c>
      <c r="N41" s="12">
        <f t="shared" si="26"/>
        <v>17280000</v>
      </c>
      <c r="O41" s="12">
        <f t="shared" si="26"/>
        <v>17280000</v>
      </c>
      <c r="P41" s="12">
        <f t="shared" ref="P41:U41" si="27">48*360*1000</f>
        <v>17280000</v>
      </c>
      <c r="Q41" s="12">
        <f t="shared" si="27"/>
        <v>17280000</v>
      </c>
      <c r="R41" s="12">
        <f t="shared" si="27"/>
        <v>17280000</v>
      </c>
      <c r="S41" s="8">
        <f t="shared" si="27"/>
        <v>17280000</v>
      </c>
      <c r="T41" s="8">
        <f t="shared" si="27"/>
        <v>17280000</v>
      </c>
      <c r="U41" s="8">
        <f t="shared" si="27"/>
        <v>17280000</v>
      </c>
      <c r="V41" s="8">
        <f t="shared" ref="V41:AA41" si="28">48*360*1000</f>
        <v>17280000</v>
      </c>
      <c r="W41" s="8">
        <f t="shared" si="28"/>
        <v>17280000</v>
      </c>
      <c r="X41" s="8">
        <f t="shared" si="28"/>
        <v>17280000</v>
      </c>
      <c r="Y41" s="12">
        <f t="shared" si="28"/>
        <v>17280000</v>
      </c>
      <c r="Z41" s="12">
        <f t="shared" si="28"/>
        <v>17280000</v>
      </c>
      <c r="AA41" s="12">
        <f t="shared" si="28"/>
        <v>17280000</v>
      </c>
      <c r="AB41" s="12">
        <f>48*360*1000</f>
        <v>17280000</v>
      </c>
      <c r="AC41" s="12">
        <f>48*360*1000</f>
        <v>17280000</v>
      </c>
      <c r="AD41" s="12"/>
    </row>
    <row r="42" spans="1:30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</row>
    <row r="43" spans="1:30">
      <c r="A43" s="7" t="s">
        <v>71</v>
      </c>
      <c r="B43" s="12">
        <f t="shared" ref="B43:I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>
        <f t="shared" si="29"/>
        <v>-94.624562618571289</v>
      </c>
      <c r="G43" s="71">
        <f t="shared" si="29"/>
        <v>-94.624562618571289</v>
      </c>
      <c r="H43" s="71">
        <f t="shared" si="29"/>
        <v>-94.624562618571289</v>
      </c>
      <c r="I43" s="71">
        <f t="shared" si="29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30">M39+10*LOG10(M41)</f>
        <v>-92.613750977881651</v>
      </c>
      <c r="N43" s="12">
        <f t="shared" si="30"/>
        <v>-92.613750977881651</v>
      </c>
      <c r="O43" s="12">
        <f t="shared" si="30"/>
        <v>-92.613750977881651</v>
      </c>
      <c r="P43" s="12">
        <f t="shared" ref="P43:U43" si="31">P39+10*LOG10(P41)</f>
        <v>-94.624562618571289</v>
      </c>
      <c r="Q43" s="12">
        <f t="shared" si="31"/>
        <v>-94.624562618571289</v>
      </c>
      <c r="R43" s="12">
        <f t="shared" si="31"/>
        <v>-94.624562618571289</v>
      </c>
      <c r="S43" s="8">
        <f t="shared" si="31"/>
        <v>-94.624562618571289</v>
      </c>
      <c r="T43" s="8">
        <f t="shared" si="31"/>
        <v>-94.624562618571289</v>
      </c>
      <c r="U43" s="8">
        <f t="shared" si="31"/>
        <v>-94.624562618571289</v>
      </c>
      <c r="V43" s="8">
        <f t="shared" ref="V43:AA43" si="32">V39+10*LOG10(V41)</f>
        <v>-92.613750977881651</v>
      </c>
      <c r="W43" s="8">
        <f t="shared" si="32"/>
        <v>-92.613750977881651</v>
      </c>
      <c r="X43" s="8">
        <f t="shared" si="32"/>
        <v>-92.613750977881651</v>
      </c>
      <c r="Y43" s="12">
        <f t="shared" si="32"/>
        <v>-94.624562618571289</v>
      </c>
      <c r="Z43" s="12">
        <f t="shared" si="32"/>
        <v>-94.624562618571289</v>
      </c>
      <c r="AA43" s="12">
        <f t="shared" si="32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</row>
    <row r="44" spans="1:30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</row>
    <row r="45" spans="1:30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</row>
    <row r="46" spans="1:30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</row>
    <row r="47" spans="1:3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</row>
    <row r="48" spans="1:30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</row>
    <row r="49" spans="1:30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</row>
    <row r="50" spans="1:30" ht="27.6">
      <c r="A50" s="7" t="s">
        <v>80</v>
      </c>
      <c r="B50" s="12">
        <f t="shared" ref="B50:I50" si="33">B43+B45+B47-B48</f>
        <v>-103.72456261857128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>
        <f t="shared" si="33"/>
        <v>-98.01456261857129</v>
      </c>
      <c r="G50" s="71">
        <f t="shared" si="33"/>
        <v>-105.31456261857129</v>
      </c>
      <c r="H50" s="71">
        <f t="shared" si="33"/>
        <v>-102.00456261857128</v>
      </c>
      <c r="I50" s="71">
        <f t="shared" si="33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34">M43+M45+M47-M48</f>
        <v>-99.073750977881645</v>
      </c>
      <c r="N50" s="12">
        <f t="shared" si="34"/>
        <v>-96.393750977881652</v>
      </c>
      <c r="O50" s="12">
        <f t="shared" si="34"/>
        <v>-93.173750977881653</v>
      </c>
      <c r="P50" s="12">
        <f t="shared" ref="P50:U50" si="35">P43+P45+P47-P48</f>
        <v>-104.12456261857129</v>
      </c>
      <c r="Q50" s="12">
        <f t="shared" si="35"/>
        <v>-101.62456261857129</v>
      </c>
      <c r="R50" s="12">
        <f t="shared" si="35"/>
        <v>-98.474562618571284</v>
      </c>
      <c r="S50" s="8">
        <f t="shared" si="35"/>
        <v>-100.62456261857129</v>
      </c>
      <c r="T50" s="8">
        <f t="shared" si="35"/>
        <v>-97.824562618571292</v>
      </c>
      <c r="U50" s="8">
        <f t="shared" si="35"/>
        <v>-95.224562618571284</v>
      </c>
      <c r="V50" s="8">
        <f t="shared" ref="V50:AA50" si="36">V43+V45+V47-V48</f>
        <v>-99.113750977881651</v>
      </c>
      <c r="W50" s="8">
        <f t="shared" si="36"/>
        <v>-96.313750977881654</v>
      </c>
      <c r="X50" s="8">
        <f t="shared" si="36"/>
        <v>-92.313750977881654</v>
      </c>
      <c r="Y50" s="12">
        <f t="shared" si="36"/>
        <v>-103.49456261857129</v>
      </c>
      <c r="Z50" s="12">
        <f t="shared" si="36"/>
        <v>-100.68456261857129</v>
      </c>
      <c r="AA50" s="12">
        <f t="shared" si="36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</row>
    <row r="51" spans="1:30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</row>
    <row r="52" spans="1:30" ht="27.6">
      <c r="A52" s="21" t="s">
        <v>83</v>
      </c>
      <c r="B52" s="22">
        <f t="shared" ref="B52:G52" si="37">B25+B30+B33-B34-B50</f>
        <v>165.87121254719665</v>
      </c>
      <c r="C52" s="22">
        <f t="shared" si="37"/>
        <v>160.07121254719667</v>
      </c>
      <c r="D52" s="22">
        <f t="shared" si="37"/>
        <v>156.57121254719667</v>
      </c>
      <c r="E52" s="22">
        <f t="shared" si="37"/>
        <v>156.98121254719666</v>
      </c>
      <c r="F52" s="22">
        <f t="shared" si="37"/>
        <v>147.82121254719667</v>
      </c>
      <c r="G52" s="76">
        <f t="shared" si="37"/>
        <v>167.46121254719668</v>
      </c>
      <c r="H52" s="76">
        <f t="shared" ref="H52:I52" si="38">H25+H30+H33-H34-H50</f>
        <v>161.15121254719668</v>
      </c>
      <c r="I52" s="76">
        <f t="shared" si="38"/>
        <v>157.19121254719667</v>
      </c>
      <c r="J52" s="22">
        <f>J25+J30+J33-J34-J50</f>
        <v>164.66121254719667</v>
      </c>
      <c r="K52" s="22">
        <f t="shared" ref="K52:O52" si="39">K25+K30+K33-K34-K50</f>
        <v>159.17121254719666</v>
      </c>
      <c r="L52" s="22">
        <f t="shared" si="39"/>
        <v>155.47121254719667</v>
      </c>
      <c r="M52" s="22">
        <f t="shared" si="39"/>
        <v>157.62190068970608</v>
      </c>
      <c r="N52" s="22">
        <f t="shared" si="39"/>
        <v>151.94190068970607</v>
      </c>
      <c r="O52" s="22">
        <f t="shared" si="39"/>
        <v>148.7219006897061</v>
      </c>
      <c r="P52" s="22">
        <f>P25+P30+P33-P34-P50</f>
        <v>166.27121254719668</v>
      </c>
      <c r="Q52" s="22">
        <f t="shared" ref="Q52:R52" si="40">Q25+Q30+Q33-Q34-Q50</f>
        <v>160.77121254719668</v>
      </c>
      <c r="R52" s="22">
        <f t="shared" si="40"/>
        <v>157.62121254719665</v>
      </c>
      <c r="S52" s="22">
        <f>S25+S30+S33-S34-S50</f>
        <v>164.77121254719668</v>
      </c>
      <c r="T52" s="22">
        <f t="shared" ref="T52:U52" si="41">T25+T30+T33-T34-T50</f>
        <v>158.97121254719667</v>
      </c>
      <c r="U52" s="22">
        <f t="shared" si="41"/>
        <v>156.37121254719665</v>
      </c>
      <c r="V52" s="22">
        <f>V25+V30+V33-V34-V50</f>
        <v>168.31040090650703</v>
      </c>
      <c r="W52" s="22">
        <f t="shared" ref="W52:X52" si="42">W25+W30+W33-W34-W50</f>
        <v>162.51040090650702</v>
      </c>
      <c r="X52" s="22">
        <f t="shared" si="42"/>
        <v>158.51040090650702</v>
      </c>
      <c r="Y52" s="22">
        <f>Y25+Y30+Y33-Y34-Y50</f>
        <v>165.64121254719669</v>
      </c>
      <c r="Z52" s="22">
        <f t="shared" ref="Z52:AA52" si="43">Z25+Z30+Z33-Z34-Z50</f>
        <v>159.83121254719669</v>
      </c>
      <c r="AA52" s="22">
        <f t="shared" si="43"/>
        <v>156.40121254719668</v>
      </c>
      <c r="AB52" s="22">
        <f>AB25+AB30+AB33-AB34-AB50</f>
        <v>162.76040090650702</v>
      </c>
      <c r="AC52" s="22">
        <f t="shared" ref="AC52" si="44">AC25+AC30+AC33-AC34-AC50</f>
        <v>157.21040090650703</v>
      </c>
      <c r="AD52" s="22"/>
    </row>
    <row r="53" spans="1:30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</row>
    <row r="54" spans="1:30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</row>
    <row r="56" spans="1:30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</row>
    <row r="57" spans="1:30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</row>
    <row r="58" spans="1:30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</row>
    <row r="59" spans="1:30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</row>
    <row r="60" spans="1:30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</row>
    <row r="61" spans="1:30" ht="27.6">
      <c r="A61" s="21" t="s">
        <v>108</v>
      </c>
      <c r="B61" s="22">
        <f t="shared" ref="B61:G61" si="45">B52-B56+B58-B59+B60</f>
        <v>132.06121254719665</v>
      </c>
      <c r="C61" s="22">
        <f t="shared" si="45"/>
        <v>126.26121254719666</v>
      </c>
      <c r="D61" s="22">
        <f t="shared" si="45"/>
        <v>122.76121254719666</v>
      </c>
      <c r="E61" s="22">
        <f t="shared" si="45"/>
        <v>123.17121254719666</v>
      </c>
      <c r="F61" s="22">
        <f t="shared" si="45"/>
        <v>114.01121254719666</v>
      </c>
      <c r="G61" s="76">
        <f t="shared" si="45"/>
        <v>133.65121254719668</v>
      </c>
      <c r="H61" s="76">
        <f t="shared" ref="H61:I61" si="46">H52-H56+H58-H59+H60</f>
        <v>127.34121254719668</v>
      </c>
      <c r="I61" s="76">
        <f t="shared" si="46"/>
        <v>123.38121254719667</v>
      </c>
      <c r="J61" s="22">
        <f>J52-J56+J58-J59+J60</f>
        <v>130.85121254719667</v>
      </c>
      <c r="K61" s="22">
        <f t="shared" ref="K61:O61" si="47">K52-K56+K58-K59+K60</f>
        <v>125.36121254719666</v>
      </c>
      <c r="L61" s="22">
        <f t="shared" si="47"/>
        <v>121.66121254719667</v>
      </c>
      <c r="M61" s="22">
        <f t="shared" si="47"/>
        <v>123.81190068970608</v>
      </c>
      <c r="N61" s="22">
        <f t="shared" si="47"/>
        <v>118.13190068970607</v>
      </c>
      <c r="O61" s="22">
        <f t="shared" si="47"/>
        <v>114.9119006897061</v>
      </c>
      <c r="P61" s="22">
        <f>P52-P56+P58-P59+P60</f>
        <v>132.46121254719668</v>
      </c>
      <c r="Q61" s="22">
        <f t="shared" ref="Q61:R61" si="48">Q52-Q56+Q58-Q59+Q60</f>
        <v>126.96121254719668</v>
      </c>
      <c r="R61" s="22">
        <f t="shared" si="48"/>
        <v>123.81121254719665</v>
      </c>
      <c r="S61" s="22">
        <f>S52-S56+S58-S59+S60</f>
        <v>130.96121254719668</v>
      </c>
      <c r="T61" s="22">
        <f t="shared" ref="T61:U61" si="49">T52-T56+T58-T59+T60</f>
        <v>125.16121254719667</v>
      </c>
      <c r="U61" s="22">
        <f t="shared" si="49"/>
        <v>122.56121254719665</v>
      </c>
      <c r="V61" s="22">
        <f>V52-V56+V58-V59+V60</f>
        <v>134.48040090650701</v>
      </c>
      <c r="W61" s="22">
        <f t="shared" ref="W61:X61" si="50">W52-W56+W58-W59+W60</f>
        <v>128.680400906507</v>
      </c>
      <c r="X61" s="22">
        <f t="shared" si="50"/>
        <v>124.680400906507</v>
      </c>
      <c r="Y61" s="22">
        <f>Y52-Y56+Y58-Y59+Y60</f>
        <v>131.83121254719669</v>
      </c>
      <c r="Z61" s="22">
        <f t="shared" ref="Z61:AA61" si="51">Z52-Z56+Z58-Z59+Z60</f>
        <v>126.02121254719668</v>
      </c>
      <c r="AA61" s="22">
        <f t="shared" si="51"/>
        <v>122.59121254719668</v>
      </c>
      <c r="AB61" s="22">
        <f>AB52-AB56+AB58-AB59+AB60</f>
        <v>128.95040090650701</v>
      </c>
      <c r="AC61" s="22">
        <f t="shared" ref="AC61" si="52">AC52-AC56+AC58-AC59+AC60</f>
        <v>123.40040090650703</v>
      </c>
      <c r="AD61" s="22"/>
    </row>
    <row r="62" spans="1:30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</row>
    <row r="63" spans="1:30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</row>
    <row r="64" spans="1:30">
      <c r="A64" s="21" t="s">
        <v>97</v>
      </c>
      <c r="B64" s="22">
        <f t="shared" ref="B64:I64" si="53">B17+B22-B50+B21+B33</f>
        <v>157.10000000000002</v>
      </c>
      <c r="C64" s="22">
        <f t="shared" si="53"/>
        <v>154.30000000000004</v>
      </c>
      <c r="D64" s="22">
        <f t="shared" si="53"/>
        <v>150.80000000000004</v>
      </c>
      <c r="E64" s="22">
        <f t="shared" si="53"/>
        <v>151.16000000000005</v>
      </c>
      <c r="F64" s="22">
        <f t="shared" si="53"/>
        <v>145.00000000000006</v>
      </c>
      <c r="G64" s="76">
        <f t="shared" si="53"/>
        <v>158.69000000000003</v>
      </c>
      <c r="H64" s="76">
        <f t="shared" si="53"/>
        <v>155.38000000000002</v>
      </c>
      <c r="I64" s="76">
        <f t="shared" si="53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54">M17+M22-M50+M21+M33</f>
        <v>151.50068814250946</v>
      </c>
      <c r="N64" s="22">
        <f t="shared" si="54"/>
        <v>148.82068814250945</v>
      </c>
      <c r="O64" s="22">
        <f t="shared" si="54"/>
        <v>145.60068814250945</v>
      </c>
      <c r="P64" s="22">
        <f t="shared" ref="P64:U64" si="55">P17+P22-P50+P21+P33</f>
        <v>157.50000000000003</v>
      </c>
      <c r="Q64" s="22">
        <f t="shared" si="55"/>
        <v>155.00000000000003</v>
      </c>
      <c r="R64" s="22">
        <f t="shared" si="55"/>
        <v>151.85000000000002</v>
      </c>
      <c r="S64" s="22">
        <f t="shared" si="55"/>
        <v>156.00000000000003</v>
      </c>
      <c r="T64" s="22">
        <f t="shared" si="55"/>
        <v>153.20000000000005</v>
      </c>
      <c r="U64" s="22">
        <f t="shared" si="55"/>
        <v>150.60000000000002</v>
      </c>
      <c r="V64" s="22">
        <f t="shared" ref="V64:AA64" si="56">V17+V22-V50+V21+V33</f>
        <v>159.5391883593104</v>
      </c>
      <c r="W64" s="22">
        <f t="shared" si="56"/>
        <v>156.73918835931042</v>
      </c>
      <c r="X64" s="22">
        <f t="shared" si="56"/>
        <v>152.73918835931042</v>
      </c>
      <c r="Y64" s="22">
        <f t="shared" si="56"/>
        <v>156.87000000000003</v>
      </c>
      <c r="Z64" s="22">
        <f t="shared" si="56"/>
        <v>154.06000000000003</v>
      </c>
      <c r="AA64" s="22">
        <f t="shared" si="56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</row>
    <row r="65" spans="1:30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</row>
  </sheetData>
  <mergeCells count="10"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dcmitype/"/>
    <ds:schemaRef ds:uri="f0c1c198-6772-4070-9fed-c99b54821fd3"/>
    <ds:schemaRef ds:uri="http://schemas.microsoft.com/office/infopath/2007/PartnerControls"/>
    <ds:schemaRef ds:uri="http://purl.org/dc/elements/1.1/"/>
    <ds:schemaRef ds:uri="http://schemas.microsoft.com/office/2006/metadata/properties"/>
    <ds:schemaRef ds:uri="caa248ac-567e-4f8a-83ad-95641c120e6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CMCC</cp:lastModifiedBy>
  <cp:lastPrinted>2006-01-19T03:50:00Z</cp:lastPrinted>
  <dcterms:created xsi:type="dcterms:W3CDTF">2003-11-11T03:59:00Z</dcterms:created>
  <dcterms:modified xsi:type="dcterms:W3CDTF">2020-10-21T01:18:40Z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