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Work\NSN\MTC\3GPP contributions\RAN1#103-e\"/>
    </mc:Choice>
  </mc:AlternateContent>
  <xr:revisionPtr revIDLastSave="0" documentId="13_ncr:1_{4FB856B6-80A3-40E7-BB48-B0F2F588F576}" xr6:coauthVersionLast="45" xr6:coauthVersionMax="45" xr10:uidLastSave="{00000000-0000-0000-0000-000000000000}"/>
  <bookViews>
    <workbookView xWindow="3705" yWindow="585" windowWidth="22980" windowHeight="15015" tabRatio="774" firstSheet="2" activeTab="13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57" l="1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P18" i="54"/>
  <c r="P26" i="54" s="1"/>
  <c r="X42" i="53"/>
  <c r="W42" i="53"/>
  <c r="W17" i="53" s="1"/>
  <c r="V42" i="53"/>
  <c r="X40" i="53"/>
  <c r="X44" i="53" s="1"/>
  <c r="X51" i="53" s="1"/>
  <c r="W40" i="53"/>
  <c r="W44" i="53" s="1"/>
  <c r="W51" i="53" s="1"/>
  <c r="V40" i="53"/>
  <c r="V44" i="53" s="1"/>
  <c r="V51" i="53" s="1"/>
  <c r="X30" i="53"/>
  <c r="W30" i="53"/>
  <c r="V30" i="53"/>
  <c r="X18" i="53"/>
  <c r="W18" i="53"/>
  <c r="V18" i="53"/>
  <c r="X17" i="53"/>
  <c r="X65" i="53" s="1"/>
  <c r="V17" i="53"/>
  <c r="V65" i="53" s="1"/>
  <c r="X16" i="53"/>
  <c r="W16" i="53"/>
  <c r="V16" i="53"/>
  <c r="X42" i="52"/>
  <c r="W42" i="52"/>
  <c r="W17" i="52" s="1"/>
  <c r="V42" i="52"/>
  <c r="X40" i="52"/>
  <c r="X44" i="52" s="1"/>
  <c r="X51" i="52" s="1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7" i="52"/>
  <c r="X65" i="52" s="1"/>
  <c r="V17" i="52"/>
  <c r="V65" i="52" s="1"/>
  <c r="X16" i="52"/>
  <c r="W16" i="52"/>
  <c r="V16" i="52"/>
  <c r="X50" i="51"/>
  <c r="X64" i="51" s="1"/>
  <c r="X43" i="51"/>
  <c r="W43" i="51"/>
  <c r="W50" i="51" s="1"/>
  <c r="X41" i="51"/>
  <c r="W41" i="51"/>
  <c r="W17" i="51" s="1"/>
  <c r="V41" i="51"/>
  <c r="V17" i="51" s="1"/>
  <c r="X39" i="51"/>
  <c r="W39" i="51"/>
  <c r="V39" i="51"/>
  <c r="V43" i="51" s="1"/>
  <c r="V50" i="51" s="1"/>
  <c r="X30" i="51"/>
  <c r="W30" i="51"/>
  <c r="V30" i="51"/>
  <c r="X25" i="51"/>
  <c r="X52" i="51" s="1"/>
  <c r="X61" i="51" s="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Q53" i="50" s="1"/>
  <c r="Q62" i="50" s="1"/>
  <c r="P18" i="50"/>
  <c r="P26" i="50" s="1"/>
  <c r="P53" i="50" s="1"/>
  <c r="P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O52" i="49" s="1"/>
  <c r="O61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O52" i="47" s="1"/>
  <c r="O61" i="47" s="1"/>
  <c r="N18" i="47"/>
  <c r="N25" i="47" s="1"/>
  <c r="N52" i="47" s="1"/>
  <c r="N61" i="47" s="1"/>
  <c r="Y42" i="46"/>
  <c r="X42" i="46"/>
  <c r="W42" i="46"/>
  <c r="Y40" i="46"/>
  <c r="Y44" i="46" s="1"/>
  <c r="Y51" i="46" s="1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Y17" i="46"/>
  <c r="X17" i="46"/>
  <c r="X65" i="46" s="1"/>
  <c r="W17" i="46"/>
  <c r="W65" i="46" s="1"/>
  <c r="Y16" i="46"/>
  <c r="X16" i="46"/>
  <c r="W16" i="46"/>
  <c r="Y41" i="32"/>
  <c r="X41" i="32"/>
  <c r="W41" i="32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W25" i="32"/>
  <c r="Y18" i="32"/>
  <c r="X18" i="32"/>
  <c r="W18" i="32"/>
  <c r="Y17" i="32"/>
  <c r="Y64" i="32" s="1"/>
  <c r="X17" i="32"/>
  <c r="W17" i="32"/>
  <c r="Y16" i="32"/>
  <c r="X16" i="32"/>
  <c r="W16" i="32"/>
  <c r="E52" i="57" l="1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X53" i="52" s="1"/>
  <c r="X62" i="52" s="1"/>
  <c r="V64" i="51"/>
  <c r="V25" i="51"/>
  <c r="V52" i="51" s="1"/>
  <c r="V61" i="51" s="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52" i="32"/>
  <c r="W61" i="32" s="1"/>
  <c r="W64" i="32"/>
  <c r="X64" i="32"/>
  <c r="X25" i="32"/>
  <c r="X52" i="32" s="1"/>
  <c r="X61" i="32" s="1"/>
  <c r="Y25" i="32"/>
  <c r="Y52" i="32" s="1"/>
  <c r="Y61" i="32" s="1"/>
  <c r="S16" i="52" l="1"/>
  <c r="T16" i="52"/>
  <c r="U16" i="52"/>
  <c r="S17" i="52"/>
  <c r="S26" i="52" s="1"/>
  <c r="T17" i="52"/>
  <c r="T26" i="52" s="1"/>
  <c r="U17" i="52"/>
  <c r="U65" i="52" s="1"/>
  <c r="S18" i="52"/>
  <c r="T18" i="52"/>
  <c r="U18" i="52"/>
  <c r="S30" i="52"/>
  <c r="T30" i="52"/>
  <c r="U30" i="52"/>
  <c r="S40" i="52"/>
  <c r="S44" i="52" s="1"/>
  <c r="S51" i="52" s="1"/>
  <c r="S65" i="52" s="1"/>
  <c r="T40" i="52"/>
  <c r="T44" i="52" s="1"/>
  <c r="T51" i="52" s="1"/>
  <c r="U40" i="52"/>
  <c r="S42" i="52"/>
  <c r="T42" i="52"/>
  <c r="U42" i="52"/>
  <c r="U44" i="52"/>
  <c r="U51" i="52" s="1"/>
  <c r="S16" i="53"/>
  <c r="T16" i="53"/>
  <c r="U16" i="53"/>
  <c r="S17" i="53"/>
  <c r="T17" i="53"/>
  <c r="T26" i="53" s="1"/>
  <c r="U17" i="53"/>
  <c r="S18" i="53"/>
  <c r="S26" i="53" s="1"/>
  <c r="T18" i="53"/>
  <c r="U18" i="53"/>
  <c r="S30" i="53"/>
  <c r="T30" i="53"/>
  <c r="U30" i="53"/>
  <c r="S40" i="53"/>
  <c r="S44" i="53" s="1"/>
  <c r="S51" i="53" s="1"/>
  <c r="S65" i="53" s="1"/>
  <c r="T40" i="53"/>
  <c r="T44" i="53" s="1"/>
  <c r="T51" i="53" s="1"/>
  <c r="T65" i="53" s="1"/>
  <c r="U40" i="53"/>
  <c r="U44" i="53" s="1"/>
  <c r="U51" i="53" s="1"/>
  <c r="S42" i="53"/>
  <c r="T42" i="53"/>
  <c r="U42" i="53"/>
  <c r="O42" i="54"/>
  <c r="N42" i="54"/>
  <c r="O40" i="54"/>
  <c r="O44" i="54" s="1"/>
  <c r="O51" i="54" s="1"/>
  <c r="O65" i="54" s="1"/>
  <c r="N40" i="54"/>
  <c r="N44" i="54" s="1"/>
  <c r="N51" i="54" s="1"/>
  <c r="N65" i="54" s="1"/>
  <c r="O30" i="54"/>
  <c r="N30" i="54"/>
  <c r="O18" i="54"/>
  <c r="O26" i="54" s="1"/>
  <c r="N18" i="54"/>
  <c r="N26" i="54" s="1"/>
  <c r="N53" i="54" s="1"/>
  <c r="N62" i="54" s="1"/>
  <c r="U41" i="51"/>
  <c r="U17" i="51" s="1"/>
  <c r="T41" i="51"/>
  <c r="T43" i="51" s="1"/>
  <c r="T50" i="51" s="1"/>
  <c r="S41" i="51"/>
  <c r="S17" i="51" s="1"/>
  <c r="U39" i="51"/>
  <c r="U43" i="51" s="1"/>
  <c r="U50" i="51" s="1"/>
  <c r="T39" i="5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U26" i="53" l="1"/>
  <c r="S53" i="52"/>
  <c r="S62" i="52" s="1"/>
  <c r="T53" i="52"/>
  <c r="T62" i="52" s="1"/>
  <c r="U26" i="52"/>
  <c r="U53" i="52" s="1"/>
  <c r="U62" i="52" s="1"/>
  <c r="T65" i="52"/>
  <c r="U53" i="53"/>
  <c r="U62" i="53" s="1"/>
  <c r="T53" i="53"/>
  <c r="T62" i="53" s="1"/>
  <c r="S53" i="53"/>
  <c r="S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N44" i="50"/>
  <c r="N51" i="50" s="1"/>
  <c r="N65" i="50" s="1"/>
  <c r="O42" i="50"/>
  <c r="N42" i="50"/>
  <c r="O40" i="50"/>
  <c r="O44" i="50" s="1"/>
  <c r="O51" i="50" s="1"/>
  <c r="O65" i="50" s="1"/>
  <c r="N40" i="50"/>
  <c r="O30" i="50"/>
  <c r="N30" i="50"/>
  <c r="N26" i="50"/>
  <c r="O18" i="50"/>
  <c r="O26" i="50" s="1"/>
  <c r="O53" i="50" s="1"/>
  <c r="O62" i="50" s="1"/>
  <c r="N18" i="50"/>
  <c r="V42" i="46"/>
  <c r="V17" i="46" s="1"/>
  <c r="U42" i="46"/>
  <c r="U44" i="46" s="1"/>
  <c r="U51" i="46" s="1"/>
  <c r="T42" i="46"/>
  <c r="T17" i="46" s="1"/>
  <c r="V40" i="46"/>
  <c r="V44" i="46" s="1"/>
  <c r="V51" i="46" s="1"/>
  <c r="U40" i="46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U43" i="32"/>
  <c r="U50" i="32" s="1"/>
  <c r="V41" i="32"/>
  <c r="U41" i="32"/>
  <c r="U17" i="32" s="1"/>
  <c r="T41" i="32"/>
  <c r="T43" i="32" s="1"/>
  <c r="T50" i="32" s="1"/>
  <c r="V39" i="32"/>
  <c r="V43" i="32" s="1"/>
  <c r="V50" i="32" s="1"/>
  <c r="U39" i="32"/>
  <c r="T39" i="32"/>
  <c r="V30" i="32"/>
  <c r="U30" i="32"/>
  <c r="T30" i="32"/>
  <c r="V18" i="32"/>
  <c r="U18" i="32"/>
  <c r="T18" i="32"/>
  <c r="V17" i="32"/>
  <c r="V64" i="32" s="1"/>
  <c r="V16" i="32"/>
  <c r="U16" i="32"/>
  <c r="T16" i="32"/>
  <c r="T64" i="51" l="1"/>
  <c r="T25" i="51"/>
  <c r="T52" i="51" s="1"/>
  <c r="T61" i="51" s="1"/>
  <c r="N53" i="50"/>
  <c r="N62" i="50" s="1"/>
  <c r="T65" i="46"/>
  <c r="T26" i="46"/>
  <c r="T53" i="46" s="1"/>
  <c r="T62" i="46" s="1"/>
  <c r="V26" i="46"/>
  <c r="V53" i="46" s="1"/>
  <c r="V62" i="46" s="1"/>
  <c r="V65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M44" i="54" s="1"/>
  <c r="M51" i="54" s="1"/>
  <c r="M65" i="54" s="1"/>
  <c r="L40" i="54"/>
  <c r="L44" i="54" s="1"/>
  <c r="L51" i="54" s="1"/>
  <c r="L65" i="54" s="1"/>
  <c r="M30" i="54"/>
  <c r="L30" i="54"/>
  <c r="M18" i="54"/>
  <c r="M26" i="54" s="1"/>
  <c r="L18" i="54"/>
  <c r="L26" i="54" s="1"/>
  <c r="L53" i="54" s="1"/>
  <c r="L62" i="54" s="1"/>
  <c r="R42" i="53"/>
  <c r="R44" i="53" s="1"/>
  <c r="R51" i="53" s="1"/>
  <c r="Q42" i="53"/>
  <c r="Q44" i="53" s="1"/>
  <c r="Q51" i="53" s="1"/>
  <c r="P42" i="53"/>
  <c r="P17" i="53" s="1"/>
  <c r="R40" i="53"/>
  <c r="Q40" i="53"/>
  <c r="P40" i="53"/>
  <c r="P44" i="53" s="1"/>
  <c r="P51" i="53" s="1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Q44" i="52" s="1"/>
  <c r="Q51" i="52" s="1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R39" i="51"/>
  <c r="Q39" i="51"/>
  <c r="P39" i="51"/>
  <c r="P43" i="51" s="1"/>
  <c r="P50" i="51" s="1"/>
  <c r="P64" i="51" s="1"/>
  <c r="R30" i="51"/>
  <c r="Q30" i="51"/>
  <c r="P30" i="51"/>
  <c r="R18" i="51"/>
  <c r="Q18" i="51"/>
  <c r="P18" i="51"/>
  <c r="R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L43" i="49"/>
  <c r="L50" i="49" s="1"/>
  <c r="L64" i="49" s="1"/>
  <c r="M41" i="49"/>
  <c r="L41" i="49"/>
  <c r="M39" i="49"/>
  <c r="M43" i="49" s="1"/>
  <c r="M50" i="49" s="1"/>
  <c r="M64" i="49" s="1"/>
  <c r="L39" i="49"/>
  <c r="M30" i="49"/>
  <c r="L30" i="49"/>
  <c r="L25" i="49"/>
  <c r="M18" i="49"/>
  <c r="M25" i="49" s="1"/>
  <c r="L18" i="49"/>
  <c r="M41" i="48"/>
  <c r="L41" i="48"/>
  <c r="M39" i="48"/>
  <c r="L39" i="48"/>
  <c r="L43" i="48" s="1"/>
  <c r="L50" i="48" s="1"/>
  <c r="L64" i="48" s="1"/>
  <c r="M30" i="48"/>
  <c r="L30" i="48"/>
  <c r="M18" i="48"/>
  <c r="M25" i="48" s="1"/>
  <c r="L18" i="48"/>
  <c r="L25" i="48" s="1"/>
  <c r="M41" i="47"/>
  <c r="L41" i="47"/>
  <c r="M39" i="47"/>
  <c r="L39" i="47"/>
  <c r="L43" i="47" s="1"/>
  <c r="L50" i="47" s="1"/>
  <c r="L64" i="47" s="1"/>
  <c r="M30" i="47"/>
  <c r="L30" i="47"/>
  <c r="M18" i="47"/>
  <c r="M25" i="47" s="1"/>
  <c r="L18" i="47"/>
  <c r="L25" i="47" s="1"/>
  <c r="S42" i="46"/>
  <c r="S17" i="46" s="1"/>
  <c r="R42" i="46"/>
  <c r="Q42" i="46"/>
  <c r="Q17" i="46" s="1"/>
  <c r="S40" i="46"/>
  <c r="R40" i="46"/>
  <c r="R44" i="46" s="1"/>
  <c r="R51" i="46" s="1"/>
  <c r="Q40" i="46"/>
  <c r="S30" i="46"/>
  <c r="R30" i="46"/>
  <c r="Q30" i="46"/>
  <c r="S18" i="46"/>
  <c r="R18" i="46"/>
  <c r="Q18" i="46"/>
  <c r="R17" i="46"/>
  <c r="S16" i="46"/>
  <c r="R16" i="46"/>
  <c r="Q16" i="46"/>
  <c r="S41" i="32"/>
  <c r="S17" i="32" s="1"/>
  <c r="R41" i="32"/>
  <c r="R17" i="32" s="1"/>
  <c r="Q41" i="32"/>
  <c r="S39" i="32"/>
  <c r="S43" i="32" s="1"/>
  <c r="S50" i="32" s="1"/>
  <c r="R39" i="32"/>
  <c r="Q39" i="32"/>
  <c r="Q43" i="32" s="1"/>
  <c r="Q50" i="32" s="1"/>
  <c r="S30" i="32"/>
  <c r="R30" i="32"/>
  <c r="Q30" i="32"/>
  <c r="S18" i="32"/>
  <c r="R18" i="32"/>
  <c r="Q18" i="32"/>
  <c r="Q25" i="32" s="1"/>
  <c r="Q17" i="32"/>
  <c r="S16" i="32"/>
  <c r="R16" i="32"/>
  <c r="Q16" i="32"/>
  <c r="U65" i="46" l="1"/>
  <c r="U26" i="46"/>
  <c r="U53" i="46" s="1"/>
  <c r="U62" i="46" s="1"/>
  <c r="T64" i="32"/>
  <c r="T25" i="32"/>
  <c r="T52" i="32" s="1"/>
  <c r="T61" i="32" s="1"/>
  <c r="Q64" i="51"/>
  <c r="M53" i="54"/>
  <c r="M62" i="54" s="1"/>
  <c r="R64" i="32"/>
  <c r="Q44" i="46"/>
  <c r="Q51" i="46" s="1"/>
  <c r="Q65" i="46" s="1"/>
  <c r="R43" i="32"/>
  <c r="R50" i="32" s="1"/>
  <c r="Q43" i="51"/>
  <c r="Q50" i="51" s="1"/>
  <c r="L52" i="49"/>
  <c r="L61" i="49" s="1"/>
  <c r="P25" i="51"/>
  <c r="P52" i="51" s="1"/>
  <c r="P61" i="51" s="1"/>
  <c r="Q26" i="46"/>
  <c r="Q53" i="46" s="1"/>
  <c r="Q62" i="46" s="1"/>
  <c r="S44" i="46"/>
  <c r="S51" i="46" s="1"/>
  <c r="M43" i="47"/>
  <c r="M50" i="47" s="1"/>
  <c r="M64" i="47" s="1"/>
  <c r="M43" i="48"/>
  <c r="M50" i="48" s="1"/>
  <c r="M64" i="48" s="1"/>
  <c r="R43" i="51"/>
  <c r="R50" i="51" s="1"/>
  <c r="L52" i="47"/>
  <c r="L61" i="47" s="1"/>
  <c r="L52" i="48"/>
  <c r="L61" i="48" s="1"/>
  <c r="L44" i="50"/>
  <c r="L51" i="50" s="1"/>
  <c r="L65" i="50" s="1"/>
  <c r="P44" i="52"/>
  <c r="P51" i="52" s="1"/>
  <c r="P65" i="52" s="1"/>
  <c r="P65" i="53"/>
  <c r="P26" i="53"/>
  <c r="P53" i="53" s="1"/>
  <c r="P62" i="53" s="1"/>
  <c r="Q17" i="53"/>
  <c r="R17" i="53"/>
  <c r="P26" i="52"/>
  <c r="R26" i="52"/>
  <c r="R53" i="52" s="1"/>
  <c r="R62" i="52" s="1"/>
  <c r="R65" i="52"/>
  <c r="Q17" i="52"/>
  <c r="R64" i="51"/>
  <c r="Q25" i="51"/>
  <c r="Q52" i="51" s="1"/>
  <c r="Q61" i="51" s="1"/>
  <c r="R25" i="51"/>
  <c r="R52" i="51" s="1"/>
  <c r="R61" i="51" s="1"/>
  <c r="M53" i="50"/>
  <c r="M62" i="50" s="1"/>
  <c r="M52" i="49"/>
  <c r="M61" i="49" s="1"/>
  <c r="M52" i="47"/>
  <c r="M61" i="47" s="1"/>
  <c r="R65" i="46"/>
  <c r="S65" i="46"/>
  <c r="S26" i="46"/>
  <c r="S53" i="46" s="1"/>
  <c r="S62" i="46" s="1"/>
  <c r="R26" i="46"/>
  <c r="R53" i="46" s="1"/>
  <c r="R62" i="46" s="1"/>
  <c r="Q64" i="32"/>
  <c r="Q52" i="32"/>
  <c r="Q61" i="32" s="1"/>
  <c r="S64" i="32"/>
  <c r="S25" i="32"/>
  <c r="S52" i="32" s="1"/>
  <c r="S61" i="32" s="1"/>
  <c r="R25" i="32"/>
  <c r="R52" i="32" s="1"/>
  <c r="R61" i="32" s="1"/>
  <c r="L53" i="50" l="1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B42" i="56"/>
  <c r="B17" i="56" s="1"/>
  <c r="D40" i="56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C17" i="56"/>
  <c r="C26" i="56" s="1"/>
  <c r="D16" i="56"/>
  <c r="C16" i="56"/>
  <c r="B16" i="56"/>
  <c r="K42" i="54"/>
  <c r="J42" i="54"/>
  <c r="K40" i="54"/>
  <c r="J40" i="54"/>
  <c r="J44" i="54" s="1"/>
  <c r="J51" i="54" s="1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N42" i="52"/>
  <c r="N17" i="52" s="1"/>
  <c r="M42" i="52"/>
  <c r="O40" i="52"/>
  <c r="O44" i="52" s="1"/>
  <c r="O51" i="52" s="1"/>
  <c r="N40" i="52"/>
  <c r="N44" i="52" s="1"/>
  <c r="N51" i="52" s="1"/>
  <c r="M40" i="52"/>
  <c r="M44" i="52" s="1"/>
  <c r="M51" i="52" s="1"/>
  <c r="M65" i="52" s="1"/>
  <c r="O30" i="52"/>
  <c r="N30" i="52"/>
  <c r="M30" i="52"/>
  <c r="O21" i="52"/>
  <c r="N21" i="52"/>
  <c r="M21" i="52"/>
  <c r="O18" i="52"/>
  <c r="N18" i="52"/>
  <c r="M18" i="52"/>
  <c r="O17" i="52"/>
  <c r="M17" i="52"/>
  <c r="O16" i="52"/>
  <c r="N16" i="52"/>
  <c r="M16" i="52"/>
  <c r="O65" i="52" l="1"/>
  <c r="N44" i="53"/>
  <c r="N51" i="53" s="1"/>
  <c r="N65" i="53" s="1"/>
  <c r="D44" i="56"/>
  <c r="D51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M65" i="53"/>
  <c r="J65" i="54"/>
  <c r="J53" i="54"/>
  <c r="J62" i="54" s="1"/>
  <c r="K44" i="54"/>
  <c r="K51" i="54" s="1"/>
  <c r="K65" i="54" s="1"/>
  <c r="B43" i="57"/>
  <c r="B50" i="57" s="1"/>
  <c r="B64" i="57" s="1"/>
  <c r="D65" i="56"/>
  <c r="N65" i="52"/>
  <c r="B52" i="57"/>
  <c r="B61" i="57" s="1"/>
  <c r="C43" i="57"/>
  <c r="C50" i="57" s="1"/>
  <c r="C64" i="57" s="1"/>
  <c r="N26" i="53"/>
  <c r="N53" i="53" s="1"/>
  <c r="N62" i="53" s="1"/>
  <c r="M44" i="53"/>
  <c r="M51" i="53" s="1"/>
  <c r="B44" i="56"/>
  <c r="B51" i="56" s="1"/>
  <c r="B65" i="56" s="1"/>
  <c r="B26" i="56"/>
  <c r="C53" i="56"/>
  <c r="C62" i="56" s="1"/>
  <c r="D26" i="56"/>
  <c r="D53" i="56" s="1"/>
  <c r="D62" i="56" s="1"/>
  <c r="K53" i="54"/>
  <c r="K62" i="54" s="1"/>
  <c r="M26" i="53"/>
  <c r="O26" i="53"/>
  <c r="O53" i="53" s="1"/>
  <c r="O62" i="53" s="1"/>
  <c r="N26" i="52"/>
  <c r="N53" i="52" s="1"/>
  <c r="N62" i="52" s="1"/>
  <c r="B53" i="56" l="1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O43" i="51" s="1"/>
  <c r="O50" i="51" s="1"/>
  <c r="N39" i="51"/>
  <c r="N43" i="51" s="1"/>
  <c r="N50" i="51" s="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N44" i="46" s="1"/>
  <c r="N51" i="46" s="1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J64" i="49" l="1"/>
  <c r="N43" i="32"/>
  <c r="N50" i="32" s="1"/>
  <c r="P43" i="32"/>
  <c r="P50" i="32" s="1"/>
  <c r="P64" i="32" s="1"/>
  <c r="K44" i="50"/>
  <c r="K51" i="50" s="1"/>
  <c r="K65" i="50" s="1"/>
  <c r="M43" i="51"/>
  <c r="M50" i="51" s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64" i="51"/>
  <c r="M25" i="51"/>
  <c r="M52" i="51" s="1"/>
  <c r="M61" i="51" s="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J52" i="48"/>
  <c r="J61" i="48" s="1"/>
  <c r="K52" i="48"/>
  <c r="K61" i="48" s="1"/>
  <c r="J52" i="47"/>
  <c r="J61" i="47" s="1"/>
  <c r="K52" i="47"/>
  <c r="K61" i="47" s="1"/>
  <c r="N65" i="46"/>
  <c r="N26" i="46"/>
  <c r="N53" i="46" s="1"/>
  <c r="N62" i="46" s="1"/>
  <c r="O26" i="46"/>
  <c r="O53" i="46" s="1"/>
  <c r="O62" i="46" s="1"/>
  <c r="P26" i="46"/>
  <c r="P53" i="46" s="1"/>
  <c r="P62" i="46" s="1"/>
  <c r="N64" i="32"/>
  <c r="N25" i="32"/>
  <c r="N52" i="32" s="1"/>
  <c r="N61" i="32" s="1"/>
  <c r="O25" i="32"/>
  <c r="P25" i="32"/>
  <c r="P52" i="32" l="1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K43" i="32" s="1"/>
  <c r="K50" i="32" s="1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L17" i="53" s="1"/>
  <c r="K42" i="53"/>
  <c r="J42" i="53"/>
  <c r="L40" i="53"/>
  <c r="K40" i="53"/>
  <c r="K44" i="53" s="1"/>
  <c r="K51" i="53" s="1"/>
  <c r="J40" i="53"/>
  <c r="L30" i="53"/>
  <c r="K30" i="53"/>
  <c r="J30" i="53"/>
  <c r="L18" i="53"/>
  <c r="K18" i="53"/>
  <c r="J18" i="53"/>
  <c r="K17" i="53"/>
  <c r="J17" i="53"/>
  <c r="L16" i="53"/>
  <c r="K16" i="53"/>
  <c r="J16" i="53"/>
  <c r="L42" i="52"/>
  <c r="L17" i="52" s="1"/>
  <c r="K42" i="52"/>
  <c r="K17" i="52" s="1"/>
  <c r="J42" i="52"/>
  <c r="J17" i="52" s="1"/>
  <c r="L40" i="52"/>
  <c r="L44" i="52" s="1"/>
  <c r="L51" i="52" s="1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H44" i="50" s="1"/>
  <c r="H51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K44" i="46" s="1"/>
  <c r="K51" i="46" s="1"/>
  <c r="M30" i="46"/>
  <c r="L30" i="46"/>
  <c r="K30" i="46"/>
  <c r="M18" i="46"/>
  <c r="L18" i="46"/>
  <c r="K18" i="46"/>
  <c r="M16" i="46"/>
  <c r="L16" i="46"/>
  <c r="K16" i="46"/>
  <c r="J26" i="53" l="1"/>
  <c r="J44" i="52"/>
  <c r="J51" i="52" s="1"/>
  <c r="L44" i="46"/>
  <c r="L51" i="46" s="1"/>
  <c r="J44" i="53"/>
  <c r="J51" i="53" s="1"/>
  <c r="M44" i="46"/>
  <c r="M51" i="46" s="1"/>
  <c r="H43" i="47"/>
  <c r="H50" i="47" s="1"/>
  <c r="H52" i="47" s="1"/>
  <c r="H61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L44" i="53"/>
  <c r="L51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65" i="53"/>
  <c r="L26" i="53"/>
  <c r="L53" i="53" s="1"/>
  <c r="L62" i="53" s="1"/>
  <c r="J65" i="53"/>
  <c r="K65" i="53"/>
  <c r="J53" i="53"/>
  <c r="J62" i="53" s="1"/>
  <c r="K26" i="53"/>
  <c r="K53" i="53" s="1"/>
  <c r="K62" i="53" s="1"/>
  <c r="J65" i="52"/>
  <c r="J26" i="52"/>
  <c r="J53" i="52" s="1"/>
  <c r="J62" i="52" s="1"/>
  <c r="K65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H65" i="50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M65" i="46"/>
  <c r="K65" i="46"/>
  <c r="K26" i="46"/>
  <c r="K53" i="46" s="1"/>
  <c r="K62" i="46" s="1"/>
  <c r="L65" i="46"/>
  <c r="L26" i="46"/>
  <c r="L53" i="46" s="1"/>
  <c r="L62" i="46" s="1"/>
  <c r="M26" i="46"/>
  <c r="M53" i="46" s="1"/>
  <c r="M62" i="46" s="1"/>
  <c r="I53" i="50" l="1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I40" i="53"/>
  <c r="I44" i="53" s="1"/>
  <c r="I51" i="53" s="1"/>
  <c r="H40" i="53"/>
  <c r="G40" i="53"/>
  <c r="G44" i="53" s="1"/>
  <c r="G51" i="53" s="1"/>
  <c r="I30" i="53"/>
  <c r="H30" i="53"/>
  <c r="G30" i="53"/>
  <c r="I18" i="53"/>
  <c r="H18" i="53"/>
  <c r="G18" i="53"/>
  <c r="I17" i="53"/>
  <c r="G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H41" i="32"/>
  <c r="J39" i="32"/>
  <c r="I39" i="32"/>
  <c r="I43" i="32" s="1"/>
  <c r="I50" i="32" s="1"/>
  <c r="H39" i="32"/>
  <c r="H43" i="32" s="1"/>
  <c r="H50" i="32" s="1"/>
  <c r="J30" i="32"/>
  <c r="I30" i="32"/>
  <c r="H30" i="32"/>
  <c r="J18" i="32"/>
  <c r="I18" i="32"/>
  <c r="H18" i="32"/>
  <c r="I17" i="32"/>
  <c r="H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F42" i="53"/>
  <c r="E42" i="53"/>
  <c r="D42" i="53"/>
  <c r="D17" i="53" s="1"/>
  <c r="C42" i="53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C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D26" i="52" s="1"/>
  <c r="C42" i="52"/>
  <c r="C17" i="52" s="1"/>
  <c r="B42" i="52"/>
  <c r="F40" i="52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B17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D44" i="50" s="1"/>
  <c r="D51" i="50" s="1"/>
  <c r="D65" i="50" s="1"/>
  <c r="C40" i="50"/>
  <c r="C44" i="50" s="1"/>
  <c r="C51" i="50" s="1"/>
  <c r="C65" i="50" s="1"/>
  <c r="B40" i="50"/>
  <c r="E30" i="50"/>
  <c r="D30" i="50"/>
  <c r="C30" i="50"/>
  <c r="B30" i="50"/>
  <c r="C26" i="50"/>
  <c r="E18" i="50"/>
  <c r="E26" i="50" s="1"/>
  <c r="E53" i="50" s="1"/>
  <c r="E62" i="50" s="1"/>
  <c r="D18" i="50"/>
  <c r="D26" i="50" s="1"/>
  <c r="D53" i="50" s="1"/>
  <c r="D62" i="50" s="1"/>
  <c r="C18" i="50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C25" i="48"/>
  <c r="E18" i="48"/>
  <c r="E25" i="48" s="1"/>
  <c r="E52" i="48" s="1"/>
  <c r="E61" i="48" s="1"/>
  <c r="D18" i="48"/>
  <c r="D25" i="48" s="1"/>
  <c r="C18" i="48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D26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C31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43" i="32" l="1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E58" i="29"/>
  <c r="E67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G65" i="46"/>
  <c r="C52" i="48"/>
  <c r="C61" i="48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C58" i="31" s="1"/>
  <c r="C67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D57" i="31"/>
  <c r="D66" i="31" s="1"/>
  <c r="B48" i="29"/>
  <c r="B55" i="29" s="1"/>
  <c r="B69" i="29" s="1"/>
  <c r="B43" i="32"/>
  <c r="B50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G52" i="49"/>
  <c r="G61" i="49" s="1"/>
  <c r="H65" i="46"/>
  <c r="D64" i="32"/>
  <c r="E44" i="46"/>
  <c r="E51" i="46" s="1"/>
  <c r="C43" i="51"/>
  <c r="C50" i="51" s="1"/>
  <c r="C44" i="52"/>
  <c r="C51" i="52" s="1"/>
  <c r="C65" i="52" s="1"/>
  <c r="E65" i="53"/>
  <c r="B44" i="53"/>
  <c r="B51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C64" i="51"/>
  <c r="G53" i="54"/>
  <c r="G62" i="54" s="1"/>
  <c r="C70" i="31"/>
  <c r="D65" i="46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J65" i="46"/>
  <c r="I65" i="46"/>
  <c r="I26" i="46"/>
  <c r="I53" i="46" s="1"/>
  <c r="I62" i="46" s="1"/>
  <c r="J26" i="46"/>
  <c r="H26" i="46"/>
  <c r="I25" i="32"/>
  <c r="I52" i="32" s="1"/>
  <c r="I61" i="32" s="1"/>
  <c r="J25" i="32"/>
  <c r="C70" i="29"/>
  <c r="C31" i="29"/>
  <c r="C58" i="29" s="1"/>
  <c r="C67" i="29" s="1"/>
  <c r="E64" i="32"/>
  <c r="C53" i="50"/>
  <c r="C62" i="50" s="1"/>
  <c r="G64" i="32"/>
  <c r="E52" i="47"/>
  <c r="E61" i="47" s="1"/>
  <c r="B65" i="53"/>
  <c r="B52" i="49"/>
  <c r="B61" i="49" s="1"/>
  <c r="E26" i="52"/>
  <c r="E53" i="52" s="1"/>
  <c r="E62" i="52" s="1"/>
  <c r="E65" i="52"/>
  <c r="B65" i="52"/>
  <c r="E65" i="46"/>
  <c r="E26" i="46"/>
  <c r="B64" i="32"/>
  <c r="B65" i="46"/>
  <c r="D52" i="48"/>
  <c r="D61" i="48" s="1"/>
  <c r="E52" i="49"/>
  <c r="E61" i="49" s="1"/>
  <c r="D65" i="53"/>
  <c r="D26" i="53"/>
  <c r="D53" i="53" s="1"/>
  <c r="D62" i="53" s="1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B57" i="29" l="1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<sst xmlns="http://schemas.openxmlformats.org/spreadsheetml/2006/main" count="4542" uniqueCount="130">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</sst>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5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65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1" fillId="8" borderId="1" xfId="1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>
      <alignment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60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 ht="15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 ht="15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 ht="15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30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30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30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30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 ht="15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30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30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 ht="15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 ht="15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65"/>
  <sheetViews>
    <sheetView zoomScale="70" zoomScaleNormal="70" workbookViewId="0">
      <pane xSplit="1" ySplit="1" topLeftCell="L2" activePane="bottomRight" state="frozen"/>
      <selection pane="topRight"/>
      <selection pane="bottomLeft"/>
      <selection pane="bottomRight" activeCell="R63" sqref="R63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2.5" style="1" bestFit="1" customWidth="1"/>
    <col min="17" max="18" width="15.75" style="1" bestFit="1" customWidth="1"/>
    <col min="19" max="19" width="17.625" style="1" customWidth="1"/>
    <col min="20" max="20" width="13.25" style="1" customWidth="1"/>
    <col min="21" max="21" width="20.75" style="1" customWidth="1"/>
    <col min="22" max="22" width="15.625" style="2" customWidth="1"/>
    <col min="23" max="24" width="15.625" style="1" customWidth="1"/>
    <col min="25" max="16384" width="9" style="1"/>
  </cols>
  <sheetData>
    <row r="1" spans="1:24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  <c r="V1" s="90" t="s">
        <v>129</v>
      </c>
      <c r="W1" s="90"/>
      <c r="X1" s="90"/>
    </row>
    <row r="2" spans="1:24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</row>
    <row r="3" spans="1:24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</row>
    <row r="4" spans="1:24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</row>
    <row r="5" spans="1:24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</row>
    <row r="6" spans="1:24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</row>
    <row r="7" spans="1:24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</row>
    <row r="8" spans="1:24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</row>
    <row r="9" spans="1:24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</row>
    <row r="10" spans="1:24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</row>
    <row r="11" spans="1:24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</row>
    <row r="13" spans="1:24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</row>
    <row r="14" spans="1:24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</row>
    <row r="15" spans="1:24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</row>
    <row r="16" spans="1:24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>V15+10*LOG10(V4)</f>
        <v>53</v>
      </c>
      <c r="W16" s="8">
        <f>W15+10*LOG10(W4)</f>
        <v>53</v>
      </c>
      <c r="X16" s="8">
        <f>X15+10*LOG10(X4)</f>
        <v>53</v>
      </c>
    </row>
    <row r="17" spans="1:24" ht="30">
      <c r="A17" s="7" t="s">
        <v>35</v>
      </c>
      <c r="B17" s="12">
        <f t="shared" ref="B17:I17" si="3">B15+10*LOG10(B42/1000000)</f>
        <v>34.583624920952495</v>
      </c>
      <c r="C17" s="12">
        <f t="shared" si="3"/>
        <v>34.583624920952495</v>
      </c>
      <c r="D17" s="12">
        <f t="shared" si="3"/>
        <v>34.583624920952495</v>
      </c>
      <c r="E17" s="12">
        <f t="shared" si="3"/>
        <v>33.334237554869496</v>
      </c>
      <c r="F17" s="12">
        <f t="shared" si="3"/>
        <v>33.334237554869496</v>
      </c>
      <c r="G17" s="71">
        <f t="shared" si="3"/>
        <v>33.334237554869496</v>
      </c>
      <c r="H17" s="71">
        <f t="shared" si="3"/>
        <v>33.334237554869496</v>
      </c>
      <c r="I17" s="71">
        <f t="shared" si="3"/>
        <v>33.334237554869496</v>
      </c>
      <c r="J17" s="12">
        <f t="shared" ref="J17:O17" si="4">J15+10*LOG10(J42/1000000)</f>
        <v>34.583624920952495</v>
      </c>
      <c r="K17" s="12">
        <f t="shared" si="4"/>
        <v>34.583624920952495</v>
      </c>
      <c r="L17" s="12">
        <f t="shared" si="4"/>
        <v>34.583624920952495</v>
      </c>
      <c r="M17" s="12">
        <f t="shared" si="4"/>
        <v>34.583624920952495</v>
      </c>
      <c r="N17" s="12">
        <f t="shared" si="4"/>
        <v>34.583624920952495</v>
      </c>
      <c r="O17" s="12">
        <f t="shared" si="4"/>
        <v>34.583624920952495</v>
      </c>
      <c r="P17" s="12">
        <f t="shared" ref="P17:U17" si="5">P15+10*LOG10(P42/1000000)</f>
        <v>33.334237554869496</v>
      </c>
      <c r="Q17" s="12">
        <f t="shared" si="5"/>
        <v>33.334237554869496</v>
      </c>
      <c r="R17" s="12">
        <f t="shared" si="5"/>
        <v>33.334237554869496</v>
      </c>
      <c r="S17" s="8">
        <f t="shared" si="5"/>
        <v>33.334237554869496</v>
      </c>
      <c r="T17" s="8">
        <f t="shared" si="5"/>
        <v>33.334237554869496</v>
      </c>
      <c r="U17" s="8">
        <f t="shared" si="5"/>
        <v>33.334237554869496</v>
      </c>
      <c r="V17" s="8">
        <f>V15+10*LOG10(V42/1000000)</f>
        <v>33.334237554869496</v>
      </c>
      <c r="W17" s="8">
        <f>W15+10*LOG10(W42/1000000)</f>
        <v>33.334237554869496</v>
      </c>
      <c r="X17" s="8">
        <f>X15+10*LOG10(X42/1000000)</f>
        <v>33.334237554869496</v>
      </c>
    </row>
    <row r="18" spans="1:24" ht="45">
      <c r="A18" s="14" t="s">
        <v>37</v>
      </c>
      <c r="B18" s="12">
        <f t="shared" ref="B18:I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>
        <f t="shared" si="6"/>
        <v>9.8212125471966232</v>
      </c>
      <c r="G18" s="71">
        <f t="shared" si="6"/>
        <v>12.771212547196624</v>
      </c>
      <c r="H18" s="71">
        <f t="shared" si="6"/>
        <v>12.771212547196624</v>
      </c>
      <c r="I18" s="71">
        <f t="shared" si="6"/>
        <v>12.771212547196624</v>
      </c>
      <c r="J18" s="12">
        <f t="shared" ref="J18:O18" si="7">J19+10*LOG10(J12/J13)-J20</f>
        <v>12.771212547196624</v>
      </c>
      <c r="K18" s="12">
        <f t="shared" si="7"/>
        <v>12.771212547196624</v>
      </c>
      <c r="L18" s="12">
        <f t="shared" si="7"/>
        <v>12.771212547196624</v>
      </c>
      <c r="M18" s="12">
        <f t="shared" si="7"/>
        <v>10.121212547196624</v>
      </c>
      <c r="N18" s="12">
        <f t="shared" si="7"/>
        <v>10.121212547196624</v>
      </c>
      <c r="O18" s="12">
        <f t="shared" si="7"/>
        <v>10.121212547196624</v>
      </c>
      <c r="P18" s="12">
        <f t="shared" ref="P18:U18" si="8">P19+10*LOG10(P12/P13)-P20</f>
        <v>12.771212547196624</v>
      </c>
      <c r="Q18" s="12">
        <f t="shared" si="8"/>
        <v>12.771212547196624</v>
      </c>
      <c r="R18" s="12">
        <f t="shared" si="8"/>
        <v>12.771212547196624</v>
      </c>
      <c r="S18" s="8">
        <f t="shared" si="8"/>
        <v>12.771212547196624</v>
      </c>
      <c r="T18" s="8">
        <f t="shared" si="8"/>
        <v>12.771212547196624</v>
      </c>
      <c r="U18" s="8">
        <f t="shared" si="8"/>
        <v>12.771212547196624</v>
      </c>
      <c r="V18" s="8">
        <f>V19+10*LOG10(V12/V13)-V20</f>
        <v>12.771212547196624</v>
      </c>
      <c r="W18" s="8">
        <f>W19+10*LOG10(W12/W13)-W20</f>
        <v>12.771212547196624</v>
      </c>
      <c r="X18" s="8">
        <f>X19+10*LOG10(X12/X13)-X20</f>
        <v>12.771212547196624</v>
      </c>
    </row>
    <row r="19" spans="1:24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</row>
    <row r="20" spans="1:24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</row>
    <row r="21" spans="1:24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9">10*LOG10(N13/N14)-8</f>
        <v>7.0514997831990609</v>
      </c>
      <c r="O21" s="16">
        <f t="shared" si="9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</row>
    <row r="22" spans="1:24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</row>
    <row r="23" spans="1:24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</row>
    <row r="24" spans="1:24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</row>
    <row r="25" spans="1:24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</row>
    <row r="26" spans="1:24" ht="15">
      <c r="A26" s="7" t="s">
        <v>51</v>
      </c>
      <c r="B26" s="12">
        <f t="shared" ref="B26:I26" si="10">B17+B18+B21-B23-B24</f>
        <v>52.354837468149121</v>
      </c>
      <c r="C26" s="12">
        <f t="shared" si="10"/>
        <v>52.354837468149121</v>
      </c>
      <c r="D26" s="12">
        <f t="shared" si="10"/>
        <v>52.354837468149121</v>
      </c>
      <c r="E26" s="12">
        <f t="shared" si="10"/>
        <v>41.765450102066119</v>
      </c>
      <c r="F26" s="12">
        <f t="shared" si="10"/>
        <v>41.765450102066119</v>
      </c>
      <c r="G26" s="71">
        <f t="shared" si="10"/>
        <v>51.105450102066122</v>
      </c>
      <c r="H26" s="71">
        <f t="shared" si="10"/>
        <v>51.105450102066122</v>
      </c>
      <c r="I26" s="71">
        <f t="shared" si="10"/>
        <v>51.105450102066122</v>
      </c>
      <c r="J26" s="12">
        <f t="shared" ref="J26:O26" si="11">J17+J18+J21-J23-J24</f>
        <v>52.354837468149121</v>
      </c>
      <c r="K26" s="12">
        <f t="shared" si="11"/>
        <v>52.354837468149121</v>
      </c>
      <c r="L26" s="12">
        <f t="shared" si="11"/>
        <v>52.354837468149121</v>
      </c>
      <c r="M26" s="12">
        <f t="shared" si="11"/>
        <v>48.756337251348185</v>
      </c>
      <c r="N26" s="12">
        <f t="shared" si="11"/>
        <v>48.756337251348185</v>
      </c>
      <c r="O26" s="12">
        <f t="shared" si="11"/>
        <v>48.756337251348185</v>
      </c>
      <c r="P26" s="12">
        <f t="shared" ref="P26:U26" si="12">P17+P18+P21-P23-P24</f>
        <v>51.105450102066122</v>
      </c>
      <c r="Q26" s="12">
        <f t="shared" si="12"/>
        <v>51.105450102066122</v>
      </c>
      <c r="R26" s="12">
        <f t="shared" si="12"/>
        <v>51.105450102066122</v>
      </c>
      <c r="S26" s="8">
        <f t="shared" si="12"/>
        <v>53.105450102066122</v>
      </c>
      <c r="T26" s="8">
        <f t="shared" si="12"/>
        <v>53.105450102066122</v>
      </c>
      <c r="U26" s="8">
        <f t="shared" si="12"/>
        <v>53.105450102066122</v>
      </c>
      <c r="V26" s="8">
        <f>V17+V18+V21-V23-V24</f>
        <v>58.155450102066126</v>
      </c>
      <c r="W26" s="8">
        <f>W17+W18+W21-W23-W24</f>
        <v>58.155450102066126</v>
      </c>
      <c r="X26" s="8">
        <f>X17+X18+X21-X23-X24</f>
        <v>58.155450102066126</v>
      </c>
    </row>
    <row r="27" spans="1:24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</row>
    <row r="29" spans="1:24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</row>
    <row r="30" spans="1:24" ht="45">
      <c r="A30" s="7" t="s">
        <v>56</v>
      </c>
      <c r="B30" s="12">
        <f t="shared" ref="B30:I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>
        <f t="shared" si="13"/>
        <v>-3</v>
      </c>
      <c r="G30" s="71">
        <f t="shared" si="13"/>
        <v>0</v>
      </c>
      <c r="H30" s="71">
        <f t="shared" si="13"/>
        <v>-3</v>
      </c>
      <c r="I30" s="71">
        <f t="shared" si="13"/>
        <v>-3</v>
      </c>
      <c r="J30" s="12">
        <f t="shared" ref="J30:O30" si="14">J31+10*LOG10(J28/J29)-J32</f>
        <v>0</v>
      </c>
      <c r="K30" s="12">
        <f t="shared" si="14"/>
        <v>-3</v>
      </c>
      <c r="L30" s="12">
        <f t="shared" si="14"/>
        <v>-3</v>
      </c>
      <c r="M30" s="12">
        <f t="shared" si="14"/>
        <v>0</v>
      </c>
      <c r="N30" s="12">
        <f t="shared" si="14"/>
        <v>-3</v>
      </c>
      <c r="O30" s="12">
        <f t="shared" si="14"/>
        <v>-3</v>
      </c>
      <c r="P30" s="12">
        <f t="shared" ref="P30:U30" si="15">P31+10*LOG10(P28/P29)-P32</f>
        <v>0</v>
      </c>
      <c r="Q30" s="12">
        <f t="shared" si="15"/>
        <v>-3</v>
      </c>
      <c r="R30" s="12">
        <f t="shared" si="15"/>
        <v>-3</v>
      </c>
      <c r="S30" s="8">
        <f t="shared" si="15"/>
        <v>0</v>
      </c>
      <c r="T30" s="8">
        <f t="shared" si="15"/>
        <v>-3</v>
      </c>
      <c r="U30" s="8">
        <f t="shared" si="15"/>
        <v>-3</v>
      </c>
      <c r="V30" s="8">
        <f>V31+10*LOG10(V28/V29)-V32</f>
        <v>0</v>
      </c>
      <c r="W30" s="8">
        <f>W31+10*LOG10(W28/W29)-W32</f>
        <v>-3</v>
      </c>
      <c r="X30" s="8">
        <f>X31+10*LOG10(X28/X29)-X32</f>
        <v>-3</v>
      </c>
    </row>
    <row r="31" spans="1:24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</row>
    <row r="32" spans="1:24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</row>
    <row r="33" spans="1:24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</row>
    <row r="34" spans="1:24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</row>
    <row r="35" spans="1:24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</row>
    <row r="36" spans="1:24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</row>
    <row r="37" spans="1:24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</row>
    <row r="38" spans="1:24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</row>
    <row r="39" spans="1:24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</row>
    <row r="40" spans="1:24" ht="30">
      <c r="A40" s="7" t="s">
        <v>107</v>
      </c>
      <c r="B40" s="12">
        <f t="shared" ref="B40:I40" si="16">10*LOG10(10^((B35+B36)/10)+10^(B38/10))</f>
        <v>-167.00000000000003</v>
      </c>
      <c r="C40" s="12">
        <f t="shared" si="16"/>
        <v>-167.00000000000003</v>
      </c>
      <c r="D40" s="12">
        <f t="shared" si="16"/>
        <v>-167.00000000000003</v>
      </c>
      <c r="E40" s="12">
        <f t="shared" si="16"/>
        <v>-167.00000000000003</v>
      </c>
      <c r="F40" s="12">
        <f t="shared" si="16"/>
        <v>-167.00000000000003</v>
      </c>
      <c r="G40" s="71">
        <f t="shared" si="16"/>
        <v>-167.00000000000003</v>
      </c>
      <c r="H40" s="71">
        <f t="shared" si="16"/>
        <v>-167.00000000000003</v>
      </c>
      <c r="I40" s="71">
        <f t="shared" si="16"/>
        <v>-167.00000000000003</v>
      </c>
      <c r="J40" s="12">
        <f t="shared" ref="J40:O40" si="17">10*LOG10(10^((J35+J36)/10)+10^(J38/10))</f>
        <v>-167.00000000000003</v>
      </c>
      <c r="K40" s="12">
        <f t="shared" si="17"/>
        <v>-167.00000000000003</v>
      </c>
      <c r="L40" s="12">
        <f t="shared" si="17"/>
        <v>-167.00000000000003</v>
      </c>
      <c r="M40" s="12">
        <f t="shared" si="17"/>
        <v>-164.98918835931039</v>
      </c>
      <c r="N40" s="12">
        <f t="shared" si="17"/>
        <v>-164.98918835931039</v>
      </c>
      <c r="O40" s="12">
        <f t="shared" si="17"/>
        <v>-164.98918835931039</v>
      </c>
      <c r="P40" s="12">
        <f t="shared" ref="P40:U40" si="18">10*LOG10(10^((P35+P36)/10)+10^(P38/10))</f>
        <v>-167.00000000000003</v>
      </c>
      <c r="Q40" s="12">
        <f t="shared" si="18"/>
        <v>-167.00000000000003</v>
      </c>
      <c r="R40" s="12">
        <f t="shared" si="18"/>
        <v>-167.00000000000003</v>
      </c>
      <c r="S40" s="8">
        <f t="shared" si="18"/>
        <v>-167.00000000000003</v>
      </c>
      <c r="T40" s="8">
        <f t="shared" si="18"/>
        <v>-167.00000000000003</v>
      </c>
      <c r="U40" s="8">
        <f t="shared" si="18"/>
        <v>-167.00000000000003</v>
      </c>
      <c r="V40" s="8">
        <f>10*LOG10(10^((V35+V36)/10)+10^(V38/10))</f>
        <v>-164.98918835931039</v>
      </c>
      <c r="W40" s="8">
        <f>10*LOG10(10^((W35+W36)/10)+10^(W38/10))</f>
        <v>-164.98918835931039</v>
      </c>
      <c r="X40" s="8">
        <f>10*LOG10(10^((X35+X36)/10)+10^(X38/10))</f>
        <v>-164.98918835931039</v>
      </c>
    </row>
    <row r="41" spans="1:24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</row>
    <row r="42" spans="1:24" ht="15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19">3*360*1000</f>
        <v>1080000</v>
      </c>
      <c r="I42" s="74">
        <f t="shared" si="19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20">4*360*1000</f>
        <v>1440000</v>
      </c>
      <c r="O42" s="16">
        <f t="shared" si="20"/>
        <v>1440000</v>
      </c>
      <c r="P42" s="16">
        <f>3*360*1000</f>
        <v>1080000</v>
      </c>
      <c r="Q42" s="16">
        <f t="shared" ref="Q42:R42" si="21">3*360*1000</f>
        <v>1080000</v>
      </c>
      <c r="R42" s="16">
        <f t="shared" si="21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22">3*360*1000</f>
        <v>1080000</v>
      </c>
      <c r="X42" s="16">
        <f t="shared" si="22"/>
        <v>1080000</v>
      </c>
    </row>
    <row r="43" spans="1:24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</row>
    <row r="44" spans="1:24" ht="15">
      <c r="A44" s="7" t="s">
        <v>72</v>
      </c>
      <c r="B44" s="12">
        <f t="shared" ref="B44:I44" si="23">B40+10*LOG10(B42)</f>
        <v>-105.41637507904753</v>
      </c>
      <c r="C44" s="12">
        <f t="shared" si="23"/>
        <v>-105.41637507904753</v>
      </c>
      <c r="D44" s="12">
        <f t="shared" si="23"/>
        <v>-105.41637507904753</v>
      </c>
      <c r="E44" s="12">
        <f t="shared" si="23"/>
        <v>-106.66576244513053</v>
      </c>
      <c r="F44" s="12">
        <f t="shared" si="23"/>
        <v>-106.66576244513053</v>
      </c>
      <c r="G44" s="71">
        <f t="shared" si="23"/>
        <v>-106.66576244513053</v>
      </c>
      <c r="H44" s="71">
        <f t="shared" si="23"/>
        <v>-106.66576244513053</v>
      </c>
      <c r="I44" s="71">
        <f t="shared" si="23"/>
        <v>-106.66576244513053</v>
      </c>
      <c r="J44" s="12">
        <f t="shared" ref="J44:O44" si="24">J40+10*LOG10(J42)</f>
        <v>-105.41637507904753</v>
      </c>
      <c r="K44" s="12">
        <f t="shared" si="24"/>
        <v>-105.41637507904753</v>
      </c>
      <c r="L44" s="12">
        <f t="shared" si="24"/>
        <v>-105.41637507904753</v>
      </c>
      <c r="M44" s="12">
        <f t="shared" si="24"/>
        <v>-103.40556343835789</v>
      </c>
      <c r="N44" s="12">
        <f t="shared" si="24"/>
        <v>-103.40556343835789</v>
      </c>
      <c r="O44" s="12">
        <f t="shared" si="24"/>
        <v>-103.40556343835789</v>
      </c>
      <c r="P44" s="12">
        <f t="shared" ref="P44:U44" si="25">P40+10*LOG10(P42)</f>
        <v>-106.66576244513053</v>
      </c>
      <c r="Q44" s="12">
        <f t="shared" si="25"/>
        <v>-106.66576244513053</v>
      </c>
      <c r="R44" s="12">
        <f t="shared" si="25"/>
        <v>-106.66576244513053</v>
      </c>
      <c r="S44" s="8">
        <f t="shared" si="25"/>
        <v>-106.66576244513053</v>
      </c>
      <c r="T44" s="8">
        <f t="shared" si="25"/>
        <v>-106.66576244513053</v>
      </c>
      <c r="U44" s="8">
        <f t="shared" si="25"/>
        <v>-106.66576244513053</v>
      </c>
      <c r="V44" s="8">
        <f>V40+10*LOG10(V42)</f>
        <v>-104.65495080444089</v>
      </c>
      <c r="W44" s="8">
        <f>W40+10*LOG10(W42)</f>
        <v>-104.65495080444089</v>
      </c>
      <c r="X44" s="8">
        <f>X40+10*LOG10(X42)</f>
        <v>-104.65495080444089</v>
      </c>
    </row>
    <row r="45" spans="1:24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</row>
    <row r="46" spans="1:24" ht="15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</row>
    <row r="47" spans="1:24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</row>
    <row r="48" spans="1:24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</row>
    <row r="49" spans="1:24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</row>
    <row r="50" spans="1:24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</row>
    <row r="51" spans="1:24" ht="30">
      <c r="A51" s="7" t="s">
        <v>82</v>
      </c>
      <c r="B51" s="12">
        <f t="shared" ref="B51:I51" si="26">B44+B46+B47-B49</f>
        <v>-110.91637507904753</v>
      </c>
      <c r="C51" s="12">
        <f t="shared" si="26"/>
        <v>-107.41637507904753</v>
      </c>
      <c r="D51" s="12">
        <f t="shared" si="26"/>
        <v>-102.21637507904752</v>
      </c>
      <c r="E51" s="12">
        <f t="shared" si="26"/>
        <v>-116.89576244513053</v>
      </c>
      <c r="F51" s="12">
        <f t="shared" si="26"/>
        <v>-113.18576244513052</v>
      </c>
      <c r="G51" s="71">
        <f t="shared" si="26"/>
        <v>-112.09576244513053</v>
      </c>
      <c r="H51" s="71">
        <f t="shared" si="26"/>
        <v>-108.11576244513053</v>
      </c>
      <c r="I51" s="71">
        <f t="shared" si="26"/>
        <v>-102.08576244513053</v>
      </c>
      <c r="J51" s="12">
        <f t="shared" ref="J51:O51" si="27">J44+J46+J47-J49</f>
        <v>-110.11637507904753</v>
      </c>
      <c r="K51" s="12">
        <f t="shared" si="27"/>
        <v>-105.34637507904753</v>
      </c>
      <c r="L51" s="12">
        <f t="shared" si="27"/>
        <v>-99.216375079047523</v>
      </c>
      <c r="M51" s="12">
        <f t="shared" si="27"/>
        <v>-109.38556343835789</v>
      </c>
      <c r="N51" s="12">
        <f t="shared" si="27"/>
        <v>-104.84556343835789</v>
      </c>
      <c r="O51" s="12">
        <f t="shared" si="27"/>
        <v>-99.905563438357888</v>
      </c>
      <c r="P51" s="12">
        <f t="shared" ref="P51:U51" si="28">P44+P46+P47-P49</f>
        <v>-112.76576244513052</v>
      </c>
      <c r="Q51" s="12">
        <f t="shared" si="28"/>
        <v>-108.26576244513052</v>
      </c>
      <c r="R51" s="12">
        <f t="shared" si="28"/>
        <v>-103.06576244513053</v>
      </c>
      <c r="S51" s="8">
        <f t="shared" si="28"/>
        <v>-110.66576244513053</v>
      </c>
      <c r="T51" s="8">
        <f t="shared" si="28"/>
        <v>-108.16576244513053</v>
      </c>
      <c r="U51" s="8">
        <f t="shared" si="28"/>
        <v>-105.16576244513053</v>
      </c>
      <c r="V51" s="8">
        <f>V44+V46+V47-V49</f>
        <v>-110.15495080444089</v>
      </c>
      <c r="W51" s="8">
        <f>W44+W46+W47-W49</f>
        <v>-107.35495080444089</v>
      </c>
      <c r="X51" s="8">
        <f>X44+X46+X47-X49</f>
        <v>-103.65495080444089</v>
      </c>
    </row>
    <row r="52" spans="1:24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</row>
    <row r="53" spans="1:24" ht="30">
      <c r="A53" s="29" t="s">
        <v>85</v>
      </c>
      <c r="B53" s="22">
        <f t="shared" ref="B53:G53" si="29">B26+B30+B33-B34-B51</f>
        <v>162.27121254719665</v>
      </c>
      <c r="C53" s="22">
        <f t="shared" si="29"/>
        <v>155.77121254719665</v>
      </c>
      <c r="D53" s="22">
        <f t="shared" si="29"/>
        <v>150.57121254719664</v>
      </c>
      <c r="E53" s="22">
        <f t="shared" si="29"/>
        <v>157.66121254719664</v>
      </c>
      <c r="F53" s="22">
        <f t="shared" si="29"/>
        <v>150.95121254719663</v>
      </c>
      <c r="G53" s="76">
        <f t="shared" si="29"/>
        <v>162.20121254719666</v>
      </c>
      <c r="H53" s="76">
        <f t="shared" ref="H53:I53" si="30">H26+H30+H33-H34-H51</f>
        <v>155.22121254719664</v>
      </c>
      <c r="I53" s="76">
        <f t="shared" si="30"/>
        <v>149.19121254719664</v>
      </c>
      <c r="J53" s="22">
        <f>J26+J30+J33-J34-J51</f>
        <v>161.47121254719664</v>
      </c>
      <c r="K53" s="22">
        <f t="shared" ref="K53:L53" si="31">K26+K30+K33-K34-K51</f>
        <v>153.70121254719666</v>
      </c>
      <c r="L53" s="22">
        <f t="shared" si="31"/>
        <v>147.57121254719664</v>
      </c>
      <c r="M53" s="22">
        <f>M26+M30+M33-M34-M51</f>
        <v>157.14190068970606</v>
      </c>
      <c r="N53" s="22">
        <f t="shared" ref="N53:O53" si="32">N26+N30+N33-N34-N51</f>
        <v>149.60190068970607</v>
      </c>
      <c r="O53" s="22">
        <f t="shared" si="32"/>
        <v>144.66190068970607</v>
      </c>
      <c r="P53" s="22">
        <f>P26+P30+P33-P34-P51</f>
        <v>162.87121254719665</v>
      </c>
      <c r="Q53" s="22">
        <f t="shared" ref="Q53:R53" si="33">Q26+Q30+Q33-Q34-Q51</f>
        <v>155.37121254719665</v>
      </c>
      <c r="R53" s="22">
        <f t="shared" si="33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34">W26+W30+W33-W34-W51</f>
        <v>161.51040090650702</v>
      </c>
      <c r="X53" s="22">
        <f t="shared" si="34"/>
        <v>157.81040090650703</v>
      </c>
    </row>
    <row r="54" spans="1:24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</row>
    <row r="56" spans="1:24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</row>
    <row r="57" spans="1:24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</row>
    <row r="58" spans="1:24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</row>
    <row r="59" spans="1:24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</row>
    <row r="60" spans="1:24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</row>
    <row r="61" spans="1:24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</row>
    <row r="62" spans="1:24" ht="30">
      <c r="A62" s="29" t="s">
        <v>109</v>
      </c>
      <c r="B62" s="22">
        <f t="shared" ref="B62:G62" si="35">B53-B57+B58-B59+B60</f>
        <v>131.54121254719666</v>
      </c>
      <c r="C62" s="22">
        <f t="shared" si="35"/>
        <v>125.04121254719666</v>
      </c>
      <c r="D62" s="22">
        <f t="shared" si="35"/>
        <v>119.84121254719665</v>
      </c>
      <c r="E62" s="22">
        <f t="shared" si="35"/>
        <v>126.93121254719665</v>
      </c>
      <c r="F62" s="22">
        <f t="shared" si="35"/>
        <v>120.22121254719664</v>
      </c>
      <c r="G62" s="76">
        <f t="shared" si="35"/>
        <v>131.47121254719667</v>
      </c>
      <c r="H62" s="76">
        <f t="shared" ref="H62:I62" si="36">H53-H57+H58-H59+H60</f>
        <v>124.49121254719665</v>
      </c>
      <c r="I62" s="76">
        <f t="shared" si="36"/>
        <v>118.46121254719665</v>
      </c>
      <c r="J62" s="22">
        <f>J53-J57+J58-J59+J60</f>
        <v>130.74121254719665</v>
      </c>
      <c r="K62" s="22">
        <f t="shared" ref="K62:L62" si="37">K53-K57+K58-K59+K60</f>
        <v>122.97121254719667</v>
      </c>
      <c r="L62" s="22">
        <f t="shared" si="37"/>
        <v>116.84121254719665</v>
      </c>
      <c r="M62" s="22">
        <f>M53-M57+M58-M59+M60</f>
        <v>126.41190068970607</v>
      </c>
      <c r="N62" s="22">
        <f t="shared" ref="N62:O62" si="38">N53-N57+N58-N59+N60</f>
        <v>118.87190068970608</v>
      </c>
      <c r="O62" s="22">
        <f t="shared" si="38"/>
        <v>113.93190068970608</v>
      </c>
      <c r="P62" s="22">
        <f>P53-P57+P58-P59+P60</f>
        <v>132.14121254719666</v>
      </c>
      <c r="Q62" s="22">
        <f t="shared" ref="Q62:R62" si="39">Q53-Q57+Q58-Q59+Q60</f>
        <v>124.64121254719666</v>
      </c>
      <c r="R62" s="22">
        <f t="shared" si="39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40">W53-W57+W58-W59+W60</f>
        <v>130.78040090650703</v>
      </c>
      <c r="X62" s="22">
        <f t="shared" si="40"/>
        <v>127.08040090650704</v>
      </c>
    </row>
    <row r="63" spans="1:24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</row>
    <row r="64" spans="1:24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</row>
    <row r="65" spans="1:24" ht="15">
      <c r="A65" s="29" t="s">
        <v>98</v>
      </c>
      <c r="B65" s="22">
        <f t="shared" ref="B65:I65" si="41">B17-B23-B51+B21+B33</f>
        <v>153.50000000000003</v>
      </c>
      <c r="C65" s="22">
        <f t="shared" si="41"/>
        <v>150.00000000000003</v>
      </c>
      <c r="D65" s="22">
        <f t="shared" si="41"/>
        <v>144.80000000000001</v>
      </c>
      <c r="E65" s="22">
        <f t="shared" si="41"/>
        <v>151.84000000000003</v>
      </c>
      <c r="F65" s="22">
        <f t="shared" si="41"/>
        <v>148.13000000000002</v>
      </c>
      <c r="G65" s="76">
        <f t="shared" si="41"/>
        <v>153.43000000000004</v>
      </c>
      <c r="H65" s="76">
        <f t="shared" si="41"/>
        <v>149.45000000000002</v>
      </c>
      <c r="I65" s="76">
        <f t="shared" si="41"/>
        <v>143.42000000000002</v>
      </c>
      <c r="J65" s="22">
        <f t="shared" ref="J65:O65" si="42">J17-J23-J51+J21+J33</f>
        <v>152.70000000000002</v>
      </c>
      <c r="K65" s="22">
        <f t="shared" si="42"/>
        <v>147.93000000000004</v>
      </c>
      <c r="L65" s="22">
        <f t="shared" si="42"/>
        <v>141.80000000000001</v>
      </c>
      <c r="M65" s="22">
        <f t="shared" si="42"/>
        <v>151.02068814250944</v>
      </c>
      <c r="N65" s="22">
        <f t="shared" si="42"/>
        <v>146.48068814250945</v>
      </c>
      <c r="O65" s="22">
        <f t="shared" si="42"/>
        <v>141.54068814250945</v>
      </c>
      <c r="P65" s="22">
        <f t="shared" ref="P65:U65" si="43">P17-P23-P51+P21+P33</f>
        <v>154.10000000000002</v>
      </c>
      <c r="Q65" s="22">
        <f t="shared" si="43"/>
        <v>149.60000000000002</v>
      </c>
      <c r="R65" s="22">
        <f t="shared" si="43"/>
        <v>144.40000000000003</v>
      </c>
      <c r="S65" s="22">
        <f t="shared" si="43"/>
        <v>154.00000000000003</v>
      </c>
      <c r="T65" s="22">
        <f t="shared" si="43"/>
        <v>151.50000000000003</v>
      </c>
      <c r="U65" s="22">
        <f t="shared" si="43"/>
        <v>148.50000000000003</v>
      </c>
      <c r="V65" s="22">
        <f>V17-V23-V51+V21+V33</f>
        <v>158.5391883593104</v>
      </c>
      <c r="W65" s="22">
        <f>W17-W23-W51+W21+W33</f>
        <v>155.73918835931039</v>
      </c>
      <c r="X65" s="22">
        <f>X17-X23-X51+X21+X33</f>
        <v>152.0391883593104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65"/>
  <sheetViews>
    <sheetView zoomScale="55" zoomScaleNormal="55" workbookViewId="0">
      <pane xSplit="1" ySplit="1" topLeftCell="J2" activePane="bottomRight" state="frozen"/>
      <selection pane="topRight"/>
      <selection pane="bottomLeft"/>
      <selection pane="bottomRight" activeCell="U58" sqref="U58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3.125" style="1" bestFit="1" customWidth="1"/>
    <col min="17" max="18" width="15.75" style="1" bestFit="1" customWidth="1"/>
    <col min="19" max="19" width="21.75" style="1" customWidth="1"/>
    <col min="20" max="20" width="18.625" style="1" customWidth="1"/>
    <col min="21" max="21" width="18.125" style="1" customWidth="1"/>
    <col min="22" max="22" width="15.625" style="2" customWidth="1"/>
    <col min="23" max="24" width="15.625" style="1" customWidth="1"/>
    <col min="25" max="16384" width="9" style="1"/>
  </cols>
  <sheetData>
    <row r="1" spans="1:24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</row>
    <row r="2" spans="1:24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</row>
    <row r="3" spans="1:24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</row>
    <row r="4" spans="1:24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</row>
    <row r="5" spans="1:24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</row>
    <row r="6" spans="1:24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</row>
    <row r="7" spans="1:24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</row>
    <row r="8" spans="1:24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</row>
    <row r="9" spans="1:24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</row>
    <row r="10" spans="1:24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</row>
    <row r="11" spans="1:24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</row>
    <row r="13" spans="1:24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</row>
    <row r="14" spans="1:24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</row>
    <row r="15" spans="1:24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</row>
    <row r="16" spans="1:24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>V15+10*LOG10(V4)</f>
        <v>53</v>
      </c>
      <c r="W16" s="8">
        <f>W15+10*LOG10(W4)</f>
        <v>53</v>
      </c>
      <c r="X16" s="8">
        <f>X15+10*LOG10(X4)</f>
        <v>53</v>
      </c>
    </row>
    <row r="17" spans="1:24" ht="30">
      <c r="A17" s="7" t="s">
        <v>35</v>
      </c>
      <c r="B17" s="12">
        <f t="shared" ref="B17:I17" si="3">B15+10*LOG10(B42/1000000)</f>
        <v>44.126050015345747</v>
      </c>
      <c r="C17" s="12">
        <f t="shared" si="3"/>
        <v>44.126050015345747</v>
      </c>
      <c r="D17" s="12">
        <f t="shared" si="3"/>
        <v>44.126050015345747</v>
      </c>
      <c r="E17" s="12">
        <f t="shared" si="3"/>
        <v>44.245042248342827</v>
      </c>
      <c r="F17" s="12">
        <f t="shared" si="3"/>
        <v>44.245042248342827</v>
      </c>
      <c r="G17" s="71">
        <f t="shared" si="3"/>
        <v>44.126050015345747</v>
      </c>
      <c r="H17" s="71">
        <f t="shared" si="3"/>
        <v>44.126050015345747</v>
      </c>
      <c r="I17" s="71">
        <f t="shared" si="3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4">M15+10*LOG10(M42/1000000)</f>
        <v>45.09515014542631</v>
      </c>
      <c r="N17" s="12">
        <f t="shared" si="4"/>
        <v>45.09515014542631</v>
      </c>
      <c r="O17" s="12">
        <f t="shared" si="4"/>
        <v>45.09515014542631</v>
      </c>
      <c r="P17" s="12">
        <f t="shared" ref="P17:U17" si="5">P15+10*LOG10(P42/1000000)</f>
        <v>44.126050015345747</v>
      </c>
      <c r="Q17" s="12">
        <f t="shared" si="5"/>
        <v>44.126050015345747</v>
      </c>
      <c r="R17" s="12">
        <f t="shared" si="5"/>
        <v>44.126050015345747</v>
      </c>
      <c r="S17" s="8">
        <f t="shared" si="5"/>
        <v>44.126050015345747</v>
      </c>
      <c r="T17" s="8">
        <f t="shared" si="5"/>
        <v>44.126050015345747</v>
      </c>
      <c r="U17" s="8">
        <f t="shared" si="5"/>
        <v>44.126050015345747</v>
      </c>
      <c r="V17" s="8">
        <f>V15+10*LOG10(V42/1000000)</f>
        <v>44.245042248342827</v>
      </c>
      <c r="W17" s="8">
        <f>W15+10*LOG10(W42/1000000)</f>
        <v>44.245042248342827</v>
      </c>
      <c r="X17" s="8">
        <f>X15+10*LOG10(X42/1000000)</f>
        <v>44.245042248342827</v>
      </c>
    </row>
    <row r="18" spans="1:24" ht="45">
      <c r="A18" s="14" t="s">
        <v>37</v>
      </c>
      <c r="B18" s="12">
        <f t="shared" ref="B18:I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>
        <f t="shared" si="6"/>
        <v>9.8212125471966232</v>
      </c>
      <c r="G18" s="71">
        <f t="shared" si="6"/>
        <v>12.771212547196624</v>
      </c>
      <c r="H18" s="71">
        <f t="shared" si="6"/>
        <v>12.771212547196624</v>
      </c>
      <c r="I18" s="71">
        <f t="shared" si="6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7">M19+10*LOG10(M12/M13)-M20</f>
        <v>10.121212547196624</v>
      </c>
      <c r="N18" s="12">
        <f t="shared" si="7"/>
        <v>10.121212547196624</v>
      </c>
      <c r="O18" s="12">
        <f t="shared" si="7"/>
        <v>10.121212547196624</v>
      </c>
      <c r="P18" s="12">
        <f t="shared" ref="P18:U18" si="8">P19+10*LOG10(P12/P13)-P20</f>
        <v>12.771212547196624</v>
      </c>
      <c r="Q18" s="12">
        <f t="shared" si="8"/>
        <v>12.771212547196624</v>
      </c>
      <c r="R18" s="12">
        <f t="shared" si="8"/>
        <v>12.771212547196624</v>
      </c>
      <c r="S18" s="8">
        <f t="shared" si="8"/>
        <v>12.771212547196624</v>
      </c>
      <c r="T18" s="8">
        <f t="shared" si="8"/>
        <v>12.771212547196624</v>
      </c>
      <c r="U18" s="8">
        <f t="shared" si="8"/>
        <v>12.771212547196624</v>
      </c>
      <c r="V18" s="8">
        <f>V19+10*LOG10(V12/V13)-V20</f>
        <v>12.771212547196624</v>
      </c>
      <c r="W18" s="8">
        <f>W19+10*LOG10(W12/W13)-W20</f>
        <v>12.771212547196624</v>
      </c>
      <c r="X18" s="8">
        <f>X19+10*LOG10(X12/X13)-X20</f>
        <v>12.771212547196624</v>
      </c>
    </row>
    <row r="19" spans="1:24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</row>
    <row r="20" spans="1:24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</row>
    <row r="21" spans="1:24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9">10*LOG10(N13/N14)-8</f>
        <v>7.0514997831990609</v>
      </c>
      <c r="O21" s="16">
        <f t="shared" si="9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</row>
    <row r="22" spans="1:24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</row>
    <row r="23" spans="1:24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</row>
    <row r="24" spans="1:24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</row>
    <row r="25" spans="1:24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</row>
    <row r="26" spans="1:24" ht="15">
      <c r="A26" s="7" t="s">
        <v>51</v>
      </c>
      <c r="B26" s="12">
        <f t="shared" ref="B26:I26" si="10">B17+B18+B21-B23-B24</f>
        <v>61.89726256254238</v>
      </c>
      <c r="C26" s="12">
        <f t="shared" si="10"/>
        <v>61.89726256254238</v>
      </c>
      <c r="D26" s="12">
        <f t="shared" si="10"/>
        <v>61.89726256254238</v>
      </c>
      <c r="E26" s="12">
        <f t="shared" si="10"/>
        <v>52.67625479553945</v>
      </c>
      <c r="F26" s="12">
        <f t="shared" si="10"/>
        <v>52.67625479553945</v>
      </c>
      <c r="G26" s="71">
        <f t="shared" si="10"/>
        <v>61.89726256254238</v>
      </c>
      <c r="H26" s="71">
        <f t="shared" si="10"/>
        <v>61.89726256254238</v>
      </c>
      <c r="I26" s="71">
        <f t="shared" si="10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11">M17+M18+M21-M23-M24</f>
        <v>59.267862475822</v>
      </c>
      <c r="N26" s="12">
        <f t="shared" si="11"/>
        <v>59.267862475822</v>
      </c>
      <c r="O26" s="12">
        <f t="shared" si="11"/>
        <v>59.267862475822</v>
      </c>
      <c r="P26" s="12">
        <f t="shared" ref="P26:U26" si="12">P17+P18+P21-P23-P24</f>
        <v>61.89726256254238</v>
      </c>
      <c r="Q26" s="12">
        <f t="shared" si="12"/>
        <v>61.89726256254238</v>
      </c>
      <c r="R26" s="12">
        <f t="shared" si="12"/>
        <v>61.89726256254238</v>
      </c>
      <c r="S26" s="8">
        <f t="shared" si="12"/>
        <v>63.89726256254238</v>
      </c>
      <c r="T26" s="8">
        <f t="shared" si="12"/>
        <v>63.89726256254238</v>
      </c>
      <c r="U26" s="8">
        <f t="shared" si="12"/>
        <v>63.89726256254238</v>
      </c>
      <c r="V26" s="8">
        <f>V17+V18+V21-V23-V24</f>
        <v>69.06625479553945</v>
      </c>
      <c r="W26" s="8">
        <f>W17+W18+W21-W23-W24</f>
        <v>69.06625479553945</v>
      </c>
      <c r="X26" s="8">
        <f>X17+X18+X21-X23-X24</f>
        <v>69.06625479553945</v>
      </c>
    </row>
    <row r="27" spans="1:24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</row>
    <row r="29" spans="1:24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</row>
    <row r="30" spans="1:24" ht="45">
      <c r="A30" s="7" t="s">
        <v>56</v>
      </c>
      <c r="B30" s="12">
        <f t="shared" ref="B30:I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>
        <f t="shared" si="13"/>
        <v>-3</v>
      </c>
      <c r="G30" s="71">
        <f t="shared" si="13"/>
        <v>0</v>
      </c>
      <c r="H30" s="71">
        <f t="shared" si="13"/>
        <v>-3</v>
      </c>
      <c r="I30" s="71">
        <f t="shared" si="13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4">M31+10*LOG10(M28/M29)-M32</f>
        <v>0</v>
      </c>
      <c r="N30" s="12">
        <f t="shared" si="14"/>
        <v>-3</v>
      </c>
      <c r="O30" s="12">
        <f t="shared" si="14"/>
        <v>-3</v>
      </c>
      <c r="P30" s="12">
        <f t="shared" ref="P30:U30" si="15">P31+10*LOG10(P28/P29)-P32</f>
        <v>0</v>
      </c>
      <c r="Q30" s="12">
        <f t="shared" si="15"/>
        <v>-3</v>
      </c>
      <c r="R30" s="12">
        <f t="shared" si="15"/>
        <v>-3</v>
      </c>
      <c r="S30" s="8">
        <f t="shared" si="15"/>
        <v>0</v>
      </c>
      <c r="T30" s="8">
        <f t="shared" si="15"/>
        <v>-3</v>
      </c>
      <c r="U30" s="8">
        <f t="shared" si="15"/>
        <v>-3</v>
      </c>
      <c r="V30" s="8">
        <f>V31+10*LOG10(V28/V29)-V32</f>
        <v>0</v>
      </c>
      <c r="W30" s="8">
        <f>W31+10*LOG10(W28/W29)-W32</f>
        <v>-3</v>
      </c>
      <c r="X30" s="8">
        <f>X31+10*LOG10(X28/X29)-X32</f>
        <v>-3</v>
      </c>
    </row>
    <row r="31" spans="1:24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</row>
    <row r="32" spans="1:24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</row>
    <row r="33" spans="1:24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</row>
    <row r="34" spans="1:24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</row>
    <row r="35" spans="1:24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</row>
    <row r="36" spans="1:24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</row>
    <row r="37" spans="1:24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</row>
    <row r="38" spans="1:24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</row>
    <row r="39" spans="1:24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</row>
    <row r="40" spans="1:24" ht="30">
      <c r="A40" s="7" t="s">
        <v>107</v>
      </c>
      <c r="B40" s="12">
        <f t="shared" ref="B40:I40" si="16">10*LOG10(10^((B35+B36)/10)+10^(B38/10))</f>
        <v>-167.00000000000003</v>
      </c>
      <c r="C40" s="12">
        <f t="shared" si="16"/>
        <v>-167.00000000000003</v>
      </c>
      <c r="D40" s="12">
        <f t="shared" si="16"/>
        <v>-167.00000000000003</v>
      </c>
      <c r="E40" s="12">
        <f t="shared" si="16"/>
        <v>-167.00000000000003</v>
      </c>
      <c r="F40" s="12">
        <f t="shared" si="16"/>
        <v>-167.00000000000003</v>
      </c>
      <c r="G40" s="71">
        <f t="shared" si="16"/>
        <v>-167.00000000000003</v>
      </c>
      <c r="H40" s="71">
        <f t="shared" si="16"/>
        <v>-167.00000000000003</v>
      </c>
      <c r="I40" s="71">
        <f t="shared" si="16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17">10*LOG10(10^((M35+M36)/10)+10^(M38/10))</f>
        <v>-164.98918835931039</v>
      </c>
      <c r="N40" s="12">
        <f t="shared" si="17"/>
        <v>-164.98918835931039</v>
      </c>
      <c r="O40" s="12">
        <f t="shared" si="17"/>
        <v>-164.98918835931039</v>
      </c>
      <c r="P40" s="12">
        <f t="shared" ref="P40:U40" si="18">10*LOG10(10^((P35+P36)/10)+10^(P38/10))</f>
        <v>-167.00000000000003</v>
      </c>
      <c r="Q40" s="12">
        <f t="shared" si="18"/>
        <v>-167.00000000000003</v>
      </c>
      <c r="R40" s="12">
        <f t="shared" si="18"/>
        <v>-167.00000000000003</v>
      </c>
      <c r="S40" s="8">
        <f t="shared" si="18"/>
        <v>-167.00000000000003</v>
      </c>
      <c r="T40" s="8">
        <f t="shared" si="18"/>
        <v>-167.00000000000003</v>
      </c>
      <c r="U40" s="8">
        <f t="shared" si="18"/>
        <v>-167.00000000000003</v>
      </c>
      <c r="V40" s="8">
        <f>10*LOG10(10^((V35+V36)/10)+10^(V38/10))</f>
        <v>-164.98918835931039</v>
      </c>
      <c r="W40" s="8">
        <f>10*LOG10(10^((W35+W36)/10)+10^(W38/10))</f>
        <v>-164.98918835931039</v>
      </c>
      <c r="X40" s="8">
        <f>10*LOG10(10^((X35+X36)/10)+10^(X38/10))</f>
        <v>-164.98918835931039</v>
      </c>
    </row>
    <row r="41" spans="1:24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</row>
    <row r="42" spans="1:24" ht="15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19">36*360*1000</f>
        <v>12960000</v>
      </c>
      <c r="I42" s="74">
        <f t="shared" si="19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20">45*360*1000</f>
        <v>16200000</v>
      </c>
      <c r="O42" s="16">
        <f t="shared" si="20"/>
        <v>16200000</v>
      </c>
      <c r="P42" s="16">
        <f>36*360*1000</f>
        <v>12960000</v>
      </c>
      <c r="Q42" s="16">
        <f t="shared" ref="Q42:R42" si="21">36*360*1000</f>
        <v>12960000</v>
      </c>
      <c r="R42" s="16">
        <f t="shared" si="21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22">37*360*1000</f>
        <v>13320000</v>
      </c>
      <c r="X42" s="16">
        <f t="shared" si="22"/>
        <v>13320000</v>
      </c>
    </row>
    <row r="43" spans="1:24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</row>
    <row r="44" spans="1:24" ht="15">
      <c r="A44" s="7" t="s">
        <v>72</v>
      </c>
      <c r="B44" s="12">
        <f t="shared" ref="B44:I44" si="23">B40+10*LOG10(B42)</f>
        <v>-95.873949984654288</v>
      </c>
      <c r="C44" s="12">
        <f t="shared" si="23"/>
        <v>-95.873949984654288</v>
      </c>
      <c r="D44" s="12">
        <f t="shared" si="23"/>
        <v>-95.873949984654288</v>
      </c>
      <c r="E44" s="12">
        <f t="shared" si="23"/>
        <v>-95.754957751657201</v>
      </c>
      <c r="F44" s="12">
        <f t="shared" si="23"/>
        <v>-95.754957751657201</v>
      </c>
      <c r="G44" s="71">
        <f t="shared" si="23"/>
        <v>-95.873949984654288</v>
      </c>
      <c r="H44" s="71">
        <f t="shared" si="23"/>
        <v>-95.873949984654288</v>
      </c>
      <c r="I44" s="71">
        <f t="shared" si="23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24">M40+10*LOG10(M42)</f>
        <v>-92.894038213884087</v>
      </c>
      <c r="N44" s="12">
        <f t="shared" si="24"/>
        <v>-92.894038213884087</v>
      </c>
      <c r="O44" s="12">
        <f t="shared" si="24"/>
        <v>-92.894038213884087</v>
      </c>
      <c r="P44" s="12">
        <f t="shared" ref="P44:U44" si="25">P40+10*LOG10(P42)</f>
        <v>-95.873949984654288</v>
      </c>
      <c r="Q44" s="12">
        <f t="shared" si="25"/>
        <v>-95.873949984654288</v>
      </c>
      <c r="R44" s="12">
        <f t="shared" si="25"/>
        <v>-95.873949984654288</v>
      </c>
      <c r="S44" s="8">
        <f t="shared" si="25"/>
        <v>-95.873949984654288</v>
      </c>
      <c r="T44" s="8">
        <f t="shared" si="25"/>
        <v>-95.873949984654288</v>
      </c>
      <c r="U44" s="8">
        <f t="shared" si="25"/>
        <v>-95.873949984654288</v>
      </c>
      <c r="V44" s="8">
        <f>V40+10*LOG10(V42)</f>
        <v>-93.744146110967563</v>
      </c>
      <c r="W44" s="8">
        <f>W40+10*LOG10(W42)</f>
        <v>-93.744146110967563</v>
      </c>
      <c r="X44" s="8">
        <f>X40+10*LOG10(X42)</f>
        <v>-93.744146110967563</v>
      </c>
    </row>
    <row r="45" spans="1:24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</row>
    <row r="46" spans="1:24" ht="15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</row>
    <row r="47" spans="1:24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</row>
    <row r="48" spans="1:24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</row>
    <row r="49" spans="1:24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</row>
    <row r="50" spans="1:24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</row>
    <row r="51" spans="1:24" ht="30">
      <c r="A51" s="7" t="s">
        <v>82</v>
      </c>
      <c r="B51" s="12">
        <f t="shared" ref="B51:I51" si="26">B44+B46+B47-B49</f>
        <v>-101.47394998465428</v>
      </c>
      <c r="C51" s="12">
        <f t="shared" si="26"/>
        <v>-98.773949984654294</v>
      </c>
      <c r="D51" s="12">
        <f t="shared" si="26"/>
        <v>-95.273949984654294</v>
      </c>
      <c r="E51" s="12">
        <f t="shared" si="26"/>
        <v>-106.29495775165719</v>
      </c>
      <c r="F51" s="12">
        <f t="shared" si="26"/>
        <v>-102.73495775165721</v>
      </c>
      <c r="G51" s="71">
        <f t="shared" si="26"/>
        <v>-104.34394998465429</v>
      </c>
      <c r="H51" s="71">
        <f t="shared" si="26"/>
        <v>-101.05394998465428</v>
      </c>
      <c r="I51" s="71">
        <f t="shared" si="26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27">M44+M46+M47-M49</f>
        <v>-100.37403821388409</v>
      </c>
      <c r="N51" s="12">
        <f t="shared" si="27"/>
        <v>-96.164038213884083</v>
      </c>
      <c r="O51" s="12">
        <f t="shared" si="27"/>
        <v>-91.504038213884087</v>
      </c>
      <c r="P51" s="12">
        <f t="shared" ref="P51:U51" si="28">P44+P46+P47-P49</f>
        <v>-104.37394998465429</v>
      </c>
      <c r="Q51" s="12">
        <f t="shared" si="28"/>
        <v>-100.47394998465428</v>
      </c>
      <c r="R51" s="12">
        <f t="shared" si="28"/>
        <v>-96.473949984654283</v>
      </c>
      <c r="S51" s="8">
        <f t="shared" si="28"/>
        <v>-100.27394998465429</v>
      </c>
      <c r="T51" s="8">
        <f t="shared" si="28"/>
        <v>-98.173949984654286</v>
      </c>
      <c r="U51" s="8">
        <f t="shared" si="28"/>
        <v>-94.973949984654283</v>
      </c>
      <c r="V51" s="8">
        <f>V44+V46+V47-V49</f>
        <v>-97.744146110967563</v>
      </c>
      <c r="W51" s="8">
        <f>W44+W46+W47-W49</f>
        <v>-95.244146110967563</v>
      </c>
      <c r="X51" s="8">
        <f>X44+X46+X47-X49</f>
        <v>-91.444146110967566</v>
      </c>
    </row>
    <row r="52" spans="1:24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</row>
    <row r="53" spans="1:24" ht="30">
      <c r="A53" s="29" t="s">
        <v>85</v>
      </c>
      <c r="B53" s="22">
        <f t="shared" ref="B53:G53" si="29">B26+B30+B33-B34-B51</f>
        <v>162.37121254719665</v>
      </c>
      <c r="C53" s="22">
        <f t="shared" si="29"/>
        <v>156.67121254719666</v>
      </c>
      <c r="D53" s="22">
        <f t="shared" si="29"/>
        <v>153.17121254719666</v>
      </c>
      <c r="E53" s="22">
        <f t="shared" si="29"/>
        <v>157.97121254719664</v>
      </c>
      <c r="F53" s="22">
        <f t="shared" si="29"/>
        <v>151.41121254719667</v>
      </c>
      <c r="G53" s="76">
        <f t="shared" si="29"/>
        <v>165.24121254719665</v>
      </c>
      <c r="H53" s="76">
        <f t="shared" ref="H53:I53" si="30">H26+H30+H33-H34-H51</f>
        <v>158.95121254719666</v>
      </c>
      <c r="I53" s="76">
        <f t="shared" si="30"/>
        <v>155.05121254719666</v>
      </c>
      <c r="J53" s="22">
        <f>J26+J30+J33-J34-J51</f>
        <v>163.77121254719668</v>
      </c>
      <c r="K53" s="22">
        <f t="shared" ref="K53:O53" si="31">K26+K30+K33-K34-K51</f>
        <v>157.37121254719665</v>
      </c>
      <c r="L53" s="22">
        <f t="shared" si="31"/>
        <v>153.97121254719667</v>
      </c>
      <c r="M53" s="22">
        <f t="shared" si="31"/>
        <v>158.64190068970609</v>
      </c>
      <c r="N53" s="22">
        <f t="shared" si="31"/>
        <v>151.43190068970608</v>
      </c>
      <c r="O53" s="22">
        <f t="shared" si="31"/>
        <v>146.77190068970609</v>
      </c>
      <c r="P53" s="22">
        <f>P26+P30+P33-P34-P51</f>
        <v>165.27121254719668</v>
      </c>
      <c r="Q53" s="22">
        <f t="shared" ref="Q53:R53" si="32">Q26+Q30+Q33-Q34-Q51</f>
        <v>158.37121254719665</v>
      </c>
      <c r="R53" s="22">
        <f t="shared" si="32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33">W26+W30+W33-W34-W51</f>
        <v>160.31040090650703</v>
      </c>
      <c r="X53" s="22">
        <f t="shared" si="33"/>
        <v>156.51040090650702</v>
      </c>
    </row>
    <row r="54" spans="1:24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</row>
    <row r="56" spans="1:24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</row>
    <row r="57" spans="1:24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</row>
    <row r="58" spans="1:24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</row>
    <row r="59" spans="1:24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</row>
    <row r="60" spans="1:24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</row>
    <row r="61" spans="1:24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</row>
    <row r="62" spans="1:24" ht="30">
      <c r="A62" s="29" t="s">
        <v>109</v>
      </c>
      <c r="B62" s="22">
        <f t="shared" ref="B62:G62" si="34">B53-B57+B58-B59+B60</f>
        <v>131.64121254719666</v>
      </c>
      <c r="C62" s="22">
        <f t="shared" si="34"/>
        <v>125.94121254719667</v>
      </c>
      <c r="D62" s="22">
        <f t="shared" si="34"/>
        <v>122.44121254719667</v>
      </c>
      <c r="E62" s="22">
        <f t="shared" si="34"/>
        <v>127.24121254719665</v>
      </c>
      <c r="F62" s="22">
        <f t="shared" si="34"/>
        <v>120.68121254719668</v>
      </c>
      <c r="G62" s="76">
        <f t="shared" si="34"/>
        <v>134.51121254719666</v>
      </c>
      <c r="H62" s="76">
        <f t="shared" ref="H62:I62" si="35">H53-H57+H58-H59+H60</f>
        <v>128.22121254719667</v>
      </c>
      <c r="I62" s="76">
        <f t="shared" si="35"/>
        <v>124.32121254719667</v>
      </c>
      <c r="J62" s="22">
        <f>J53-J57+J58-J59+J60</f>
        <v>133.04121254719669</v>
      </c>
      <c r="K62" s="22">
        <f t="shared" ref="K62:O62" si="36">K53-K57+K58-K59+K60</f>
        <v>126.64121254719666</v>
      </c>
      <c r="L62" s="22">
        <f t="shared" si="36"/>
        <v>123.24121254719668</v>
      </c>
      <c r="M62" s="22">
        <f t="shared" si="36"/>
        <v>127.9119006897061</v>
      </c>
      <c r="N62" s="22">
        <f t="shared" si="36"/>
        <v>120.70190068970609</v>
      </c>
      <c r="O62" s="22">
        <f t="shared" si="36"/>
        <v>116.0419006897061</v>
      </c>
      <c r="P62" s="22">
        <f>P53-P57+P58-P59+P60</f>
        <v>134.54121254719669</v>
      </c>
      <c r="Q62" s="22">
        <f t="shared" ref="Q62:R62" si="37">Q53-Q57+Q58-Q59+Q60</f>
        <v>127.64121254719666</v>
      </c>
      <c r="R62" s="22">
        <f t="shared" si="37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38">W53-W57+W58-W59+W60</f>
        <v>129.58040090650704</v>
      </c>
      <c r="X62" s="22">
        <f t="shared" si="38"/>
        <v>125.78040090650703</v>
      </c>
    </row>
    <row r="63" spans="1:24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</row>
    <row r="64" spans="1:24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</row>
    <row r="65" spans="1:24" ht="15">
      <c r="A65" s="29" t="s">
        <v>98</v>
      </c>
      <c r="B65" s="22">
        <f t="shared" ref="B65:I65" si="39">B17-B23-B51+B21+B33</f>
        <v>153.60000000000002</v>
      </c>
      <c r="C65" s="22">
        <f t="shared" si="39"/>
        <v>150.90000000000003</v>
      </c>
      <c r="D65" s="22">
        <f t="shared" si="39"/>
        <v>147.40000000000003</v>
      </c>
      <c r="E65" s="22">
        <f t="shared" si="39"/>
        <v>152.15000000000003</v>
      </c>
      <c r="F65" s="22">
        <f t="shared" si="39"/>
        <v>148.59000000000003</v>
      </c>
      <c r="G65" s="76">
        <f t="shared" si="39"/>
        <v>156.47000000000003</v>
      </c>
      <c r="H65" s="76">
        <f t="shared" si="39"/>
        <v>153.18000000000004</v>
      </c>
      <c r="I65" s="76">
        <f t="shared" si="39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40">M17-M23-M51+M21+M33</f>
        <v>152.52068814250947</v>
      </c>
      <c r="N65" s="22">
        <f t="shared" si="40"/>
        <v>148.31068814250946</v>
      </c>
      <c r="O65" s="22">
        <f t="shared" si="40"/>
        <v>143.65068814250947</v>
      </c>
      <c r="P65" s="22">
        <f t="shared" ref="P65:U65" si="41">P17-P23-P51+P21+P33</f>
        <v>156.50000000000003</v>
      </c>
      <c r="Q65" s="22">
        <f t="shared" si="41"/>
        <v>152.60000000000002</v>
      </c>
      <c r="R65" s="22">
        <f t="shared" si="41"/>
        <v>148.60000000000002</v>
      </c>
      <c r="S65" s="22">
        <f t="shared" si="41"/>
        <v>154.40000000000003</v>
      </c>
      <c r="T65" s="22">
        <f t="shared" si="41"/>
        <v>152.30000000000004</v>
      </c>
      <c r="U65" s="22">
        <f t="shared" si="41"/>
        <v>149.10000000000002</v>
      </c>
      <c r="V65" s="22">
        <f>V17-V23-V51+V21+V33</f>
        <v>157.0391883593104</v>
      </c>
      <c r="W65" s="22">
        <f>W17-W23-W51+W21+W33</f>
        <v>154.5391883593104</v>
      </c>
      <c r="X65" s="22">
        <f>X17-X23-X51+X21+X33</f>
        <v>150.73918835931039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5"/>
  <sheetViews>
    <sheetView zoomScale="55" zoomScaleNormal="55" workbookViewId="0">
      <pane xSplit="1" ySplit="1" topLeftCell="B14" activePane="bottomRight" state="frozen"/>
      <selection pane="topRight"/>
      <selection pane="bottomLeft"/>
      <selection pane="bottomRight" activeCell="N73" sqref="N73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20.25" style="1" customWidth="1"/>
    <col min="15" max="15" width="19.75" style="1" customWidth="1"/>
    <col min="16" max="16" width="15.625" style="2" customWidth="1"/>
    <col min="17" max="17" width="15.625" style="1" customWidth="1"/>
    <col min="18" max="16384" width="9" style="1"/>
  </cols>
  <sheetData>
    <row r="1" spans="1:1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</row>
    <row r="2" spans="1:1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</row>
    <row r="3" spans="1:1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</row>
    <row r="4" spans="1:1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</row>
    <row r="8" spans="1:17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</row>
    <row r="9" spans="1:1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</row>
    <row r="10" spans="1:1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</row>
    <row r="11" spans="1:1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</row>
    <row r="14" spans="1:17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</row>
    <row r="15" spans="1:1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</row>
    <row r="16" spans="1:1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</row>
    <row r="19" spans="1:1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</row>
    <row r="21" spans="1:1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</row>
    <row r="26" spans="1:17" ht="1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68">
        <f t="shared" si="3"/>
        <v>22</v>
      </c>
      <c r="G26" s="68">
        <f t="shared" si="3"/>
        <v>19</v>
      </c>
      <c r="H26" s="8">
        <f>H17+H18+H21-H23-H24</f>
        <v>22</v>
      </c>
      <c r="I26" s="8">
        <f>I17+I18+I21-I23-I24</f>
        <v>19</v>
      </c>
      <c r="J26" s="8">
        <f t="shared" ref="J26:K26" si="4">J17+J18+J21-J23-J24</f>
        <v>22</v>
      </c>
      <c r="K26" s="8">
        <f t="shared" si="4"/>
        <v>19</v>
      </c>
      <c r="L26" s="8">
        <f t="shared" ref="L26:Q26" si="5">L17+L18+L21-L23-L24</f>
        <v>22</v>
      </c>
      <c r="M26" s="8">
        <f t="shared" si="5"/>
        <v>19</v>
      </c>
      <c r="N26" s="8">
        <f t="shared" si="5"/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</row>
    <row r="27" spans="1:1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</row>
    <row r="29" spans="1:17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</row>
    <row r="30" spans="1:17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8">
        <f t="shared" si="8"/>
        <v>12.771212547196624</v>
      </c>
      <c r="Q30" s="8">
        <f t="shared" si="8"/>
        <v>12.771212547196624</v>
      </c>
    </row>
    <row r="31" spans="1:1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</row>
    <row r="33" spans="1:17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</row>
    <row r="34" spans="1:1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</row>
    <row r="38" spans="1:17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</row>
    <row r="39" spans="1:17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</row>
    <row r="40" spans="1:17" ht="30">
      <c r="A40" s="7" t="s">
        <v>107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1">
        <f t="shared" si="9"/>
        <v>-169.00000000000003</v>
      </c>
      <c r="G40" s="71">
        <f t="shared" si="9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0">10*LOG10(10^((J35+J36)/10)+10^(J38/10))</f>
        <v>-164.03352307536667</v>
      </c>
      <c r="K40" s="12">
        <f t="shared" si="10"/>
        <v>-164.03352307536667</v>
      </c>
      <c r="L40" s="12">
        <f t="shared" ref="L40:Q40" si="11">10*LOG10(10^((L35+L36)/10)+10^(L38/10))</f>
        <v>-169.00000000000003</v>
      </c>
      <c r="M40" s="12">
        <f t="shared" si="11"/>
        <v>-169.00000000000003</v>
      </c>
      <c r="N40" s="8">
        <f t="shared" si="11"/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</row>
    <row r="41" spans="1:17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</row>
    <row r="42" spans="1:17" ht="15">
      <c r="A42" s="33" t="s">
        <v>70</v>
      </c>
      <c r="B42" s="12">
        <f t="shared" ref="B42:G42" si="12">2*360*1000</f>
        <v>720000</v>
      </c>
      <c r="C42" s="12">
        <f t="shared" si="12"/>
        <v>720000</v>
      </c>
      <c r="D42" s="12">
        <f t="shared" si="12"/>
        <v>720000</v>
      </c>
      <c r="E42" s="12">
        <f t="shared" si="12"/>
        <v>720000</v>
      </c>
      <c r="F42" s="71">
        <f t="shared" si="12"/>
        <v>720000</v>
      </c>
      <c r="G42" s="71">
        <f t="shared" si="12"/>
        <v>720000</v>
      </c>
      <c r="H42" s="12">
        <f>2*360*1000</f>
        <v>720000</v>
      </c>
      <c r="I42" s="12">
        <f>2*360*1000</f>
        <v>720000</v>
      </c>
      <c r="J42" s="12">
        <f t="shared" ref="J42:K42" si="13">2*360*1000</f>
        <v>720000</v>
      </c>
      <c r="K42" s="12">
        <f t="shared" si="13"/>
        <v>720000</v>
      </c>
      <c r="L42" s="12">
        <f t="shared" ref="L42:Q42" si="14">2*360*1000</f>
        <v>720000</v>
      </c>
      <c r="M42" s="12">
        <f t="shared" si="14"/>
        <v>720000</v>
      </c>
      <c r="N42" s="8">
        <f t="shared" si="14"/>
        <v>720000</v>
      </c>
      <c r="O42" s="8">
        <f t="shared" si="14"/>
        <v>720000</v>
      </c>
      <c r="P42" s="8">
        <f t="shared" si="14"/>
        <v>720000</v>
      </c>
      <c r="Q42" s="8">
        <f t="shared" si="14"/>
        <v>720000</v>
      </c>
    </row>
    <row r="43" spans="1:17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</row>
    <row r="44" spans="1:17" ht="15">
      <c r="A44" s="7" t="s">
        <v>72</v>
      </c>
      <c r="B44" s="12">
        <f t="shared" ref="B44:G44" si="15">B40+10*LOG10(B42)</f>
        <v>-110.42667503568734</v>
      </c>
      <c r="C44" s="12">
        <f t="shared" si="15"/>
        <v>-110.42667503568734</v>
      </c>
      <c r="D44" s="12">
        <f t="shared" si="15"/>
        <v>-110.42667503568734</v>
      </c>
      <c r="E44" s="12">
        <f t="shared" si="15"/>
        <v>-110.42667503568734</v>
      </c>
      <c r="F44" s="71">
        <f t="shared" si="15"/>
        <v>-110.42667503568734</v>
      </c>
      <c r="G44" s="71">
        <f t="shared" si="1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16">J40+10*LOG10(J42)</f>
        <v>-105.46019811105398</v>
      </c>
      <c r="K44" s="12">
        <f t="shared" si="16"/>
        <v>-105.46019811105398</v>
      </c>
      <c r="L44" s="12">
        <f t="shared" ref="L44:Q44" si="17">L40+10*LOG10(L42)</f>
        <v>-110.42667503568734</v>
      </c>
      <c r="M44" s="12">
        <f t="shared" si="17"/>
        <v>-110.42667503568734</v>
      </c>
      <c r="N44" s="8">
        <f t="shared" si="17"/>
        <v>-110.42667503568734</v>
      </c>
      <c r="O44" s="8">
        <f t="shared" si="17"/>
        <v>-110.42667503568734</v>
      </c>
      <c r="P44" s="8">
        <f t="shared" si="17"/>
        <v>-105.46019811105398</v>
      </c>
      <c r="Q44" s="8">
        <f t="shared" si="17"/>
        <v>-105.46019811105398</v>
      </c>
    </row>
    <row r="45" spans="1:17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</row>
    <row r="46" spans="1:17" ht="1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</row>
    <row r="49" spans="1:1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</row>
    <row r="50" spans="1:1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</row>
    <row r="51" spans="1:17" ht="30">
      <c r="A51" s="7" t="s">
        <v>82</v>
      </c>
      <c r="B51" s="12">
        <f t="shared" ref="B51:G51" si="18">B44+B46+B47-B49</f>
        <v>-110.22667503568734</v>
      </c>
      <c r="C51" s="12">
        <f t="shared" si="18"/>
        <v>-110.22667503568734</v>
      </c>
      <c r="D51" s="12">
        <f t="shared" si="18"/>
        <v>-115.63667503568733</v>
      </c>
      <c r="E51" s="12">
        <f t="shared" si="18"/>
        <v>-115.63667503568733</v>
      </c>
      <c r="F51" s="71">
        <f t="shared" si="18"/>
        <v>-114.93667503568734</v>
      </c>
      <c r="G51" s="71">
        <f t="shared" si="18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19">J44+J46+J47-J49</f>
        <v>-105.68019811105398</v>
      </c>
      <c r="K51" s="12">
        <f t="shared" si="19"/>
        <v>-105.54019811105398</v>
      </c>
      <c r="L51" s="12">
        <f t="shared" ref="L51:Q51" si="20">L44+L46+L47-L49</f>
        <v>-114.84667503568734</v>
      </c>
      <c r="M51" s="12">
        <f t="shared" si="20"/>
        <v>-114.84667503568734</v>
      </c>
      <c r="N51" s="8">
        <f t="shared" si="20"/>
        <v>-113.72667503568734</v>
      </c>
      <c r="O51" s="8">
        <f t="shared" si="20"/>
        <v>-113.72667503568734</v>
      </c>
      <c r="P51" s="8">
        <f t="shared" si="20"/>
        <v>-100.96019811105398</v>
      </c>
      <c r="Q51" s="8">
        <f t="shared" si="20"/>
        <v>-100.96019811105398</v>
      </c>
    </row>
    <row r="52" spans="1:17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</row>
    <row r="53" spans="1:17" ht="30">
      <c r="A53" s="29" t="s">
        <v>85</v>
      </c>
      <c r="B53" s="22">
        <f t="shared" ref="B53:G53" si="21">B26+B30+B33-B34-B51</f>
        <v>149.99788758288395</v>
      </c>
      <c r="C53" s="22">
        <f t="shared" si="21"/>
        <v>146.99788758288395</v>
      </c>
      <c r="D53" s="22">
        <f t="shared" si="21"/>
        <v>156.49788758288395</v>
      </c>
      <c r="E53" s="22">
        <f t="shared" si="21"/>
        <v>153.49788758288395</v>
      </c>
      <c r="F53" s="76">
        <f t="shared" si="21"/>
        <v>154.70788758288398</v>
      </c>
      <c r="G53" s="76">
        <f t="shared" si="21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22">J26+J30+J33-J34-J51</f>
        <v>152.50291044144967</v>
      </c>
      <c r="K53" s="22">
        <f t="shared" si="22"/>
        <v>149.36291044144969</v>
      </c>
      <c r="L53" s="22">
        <f t="shared" ref="L53:Q53" si="23">L26+L30+L33-L34-L51</f>
        <v>154.61788758288395</v>
      </c>
      <c r="M53" s="22">
        <f t="shared" si="23"/>
        <v>151.61788758288395</v>
      </c>
      <c r="N53" s="22">
        <f t="shared" si="23"/>
        <v>153.49788758288395</v>
      </c>
      <c r="O53" s="22">
        <f t="shared" si="23"/>
        <v>150.49788758288395</v>
      </c>
      <c r="P53" s="22">
        <f t="shared" si="23"/>
        <v>147.78141065825059</v>
      </c>
      <c r="Q53" s="22">
        <f t="shared" si="23"/>
        <v>144.78141065825059</v>
      </c>
    </row>
    <row r="54" spans="1:1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</row>
    <row r="56" spans="1:17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</row>
    <row r="57" spans="1:17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</row>
    <row r="58" spans="1:17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</row>
    <row r="59" spans="1:17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</row>
    <row r="60" spans="1:17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</row>
    <row r="61" spans="1:17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</row>
    <row r="62" spans="1:17" ht="30">
      <c r="A62" s="29" t="s">
        <v>109</v>
      </c>
      <c r="B62" s="22">
        <f t="shared" ref="B62:G62" si="24">B53-B57+B58-B59+B60</f>
        <v>119.26788758288396</v>
      </c>
      <c r="C62" s="22">
        <f t="shared" si="24"/>
        <v>116.26788758288396</v>
      </c>
      <c r="D62" s="22">
        <f t="shared" si="24"/>
        <v>125.76788758288396</v>
      </c>
      <c r="E62" s="22">
        <f t="shared" si="24"/>
        <v>122.76788758288396</v>
      </c>
      <c r="F62" s="76">
        <f t="shared" si="24"/>
        <v>123.97788758288399</v>
      </c>
      <c r="G62" s="76">
        <f t="shared" si="24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25">J53-J57+J58-J59+J60</f>
        <v>121.77291044144968</v>
      </c>
      <c r="K62" s="22">
        <f t="shared" si="25"/>
        <v>118.6329104414497</v>
      </c>
      <c r="L62" s="22">
        <f t="shared" ref="L62:Q62" si="26">L53-L57+L58-L59+L60</f>
        <v>123.88788758288396</v>
      </c>
      <c r="M62" s="22">
        <f t="shared" si="26"/>
        <v>120.88788758288396</v>
      </c>
      <c r="N62" s="22">
        <f t="shared" si="26"/>
        <v>122.76788758288396</v>
      </c>
      <c r="O62" s="22">
        <f t="shared" si="26"/>
        <v>119.76788758288396</v>
      </c>
      <c r="P62" s="22">
        <f t="shared" si="26"/>
        <v>117.0514106582506</v>
      </c>
      <c r="Q62" s="22">
        <f t="shared" si="26"/>
        <v>114.0514106582506</v>
      </c>
    </row>
    <row r="63" spans="1:17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</row>
    <row r="64" spans="1:17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</row>
    <row r="65" spans="1:17" ht="15">
      <c r="A65" s="29" t="s">
        <v>98</v>
      </c>
      <c r="B65" s="22">
        <f t="shared" ref="B65:G65" si="27">B17-B23-B51+B21+B33</f>
        <v>141.22667503568732</v>
      </c>
      <c r="C65" s="22">
        <f t="shared" si="27"/>
        <v>141.22667503568732</v>
      </c>
      <c r="D65" s="22">
        <f t="shared" si="27"/>
        <v>150.67667503568734</v>
      </c>
      <c r="E65" s="22">
        <f t="shared" si="27"/>
        <v>150.67667503568734</v>
      </c>
      <c r="F65" s="76">
        <f t="shared" si="27"/>
        <v>145.93667503568736</v>
      </c>
      <c r="G65" s="76">
        <f t="shared" si="27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28">J17-J23-J51+J21+J33</f>
        <v>143.73169789425305</v>
      </c>
      <c r="K65" s="22">
        <f t="shared" si="28"/>
        <v>143.59169789425306</v>
      </c>
      <c r="L65" s="22">
        <f t="shared" ref="L65:Q65" si="29">L17-L23-L51+L21+L33</f>
        <v>145.84667503568733</v>
      </c>
      <c r="M65" s="22">
        <f t="shared" si="29"/>
        <v>145.84667503568733</v>
      </c>
      <c r="N65" s="22">
        <f t="shared" si="29"/>
        <v>144.72667503568732</v>
      </c>
      <c r="O65" s="22">
        <f t="shared" si="29"/>
        <v>144.72667503568732</v>
      </c>
      <c r="P65" s="22">
        <f t="shared" si="29"/>
        <v>139.010198111054</v>
      </c>
      <c r="Q65" s="22">
        <f t="shared" si="29"/>
        <v>139.010198111054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5"/>
  <sheetViews>
    <sheetView workbookViewId="0">
      <pane xSplit="1" ySplit="1" topLeftCell="B5" activePane="bottomRight" state="frozen"/>
      <selection pane="topRight"/>
      <selection pane="bottomLeft"/>
      <selection pane="bottomRight" activeCell="K71" sqref="K71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16384" width="9" style="1"/>
  </cols>
  <sheetData>
    <row r="1" spans="1:4" ht="14.25" customHeight="1">
      <c r="A1" s="3"/>
      <c r="B1" s="90" t="s">
        <v>119</v>
      </c>
      <c r="C1" s="90"/>
      <c r="D1" s="90"/>
    </row>
    <row r="2" spans="1:4" ht="29.25" customHeight="1">
      <c r="A2" s="4" t="s">
        <v>10</v>
      </c>
      <c r="B2" s="5" t="s">
        <v>102</v>
      </c>
      <c r="C2" s="6" t="s">
        <v>103</v>
      </c>
      <c r="D2" s="6" t="s">
        <v>104</v>
      </c>
    </row>
    <row r="3" spans="1:4" ht="15">
      <c r="A3" s="7" t="s">
        <v>11</v>
      </c>
      <c r="B3" s="8">
        <v>2.6</v>
      </c>
      <c r="C3" s="8">
        <v>2.6</v>
      </c>
      <c r="D3" s="8">
        <v>2.6</v>
      </c>
    </row>
    <row r="4" spans="1:4" ht="15">
      <c r="A4" s="7" t="s">
        <v>13</v>
      </c>
      <c r="B4" s="8">
        <v>100</v>
      </c>
      <c r="C4" s="8">
        <v>100</v>
      </c>
      <c r="D4" s="8">
        <v>100</v>
      </c>
    </row>
    <row r="5" spans="1:4" ht="15">
      <c r="A5" s="7" t="s">
        <v>15</v>
      </c>
      <c r="B5" s="9" t="s">
        <v>16</v>
      </c>
      <c r="C5" s="9" t="s">
        <v>16</v>
      </c>
      <c r="D5" s="9" t="s">
        <v>16</v>
      </c>
    </row>
    <row r="6" spans="1:4" ht="15">
      <c r="A6" s="7" t="s">
        <v>17</v>
      </c>
      <c r="B6" s="12" t="s">
        <v>16</v>
      </c>
      <c r="C6" s="12" t="s">
        <v>16</v>
      </c>
      <c r="D6" s="12" t="s">
        <v>16</v>
      </c>
    </row>
    <row r="7" spans="1:4" ht="15">
      <c r="A7" s="7" t="s">
        <v>19</v>
      </c>
      <c r="B7" s="84" t="s">
        <v>122</v>
      </c>
      <c r="C7" s="84" t="s">
        <v>122</v>
      </c>
      <c r="D7" s="84" t="s">
        <v>122</v>
      </c>
    </row>
    <row r="8" spans="1:4" ht="15">
      <c r="A8" s="7" t="s">
        <v>20</v>
      </c>
      <c r="B8" s="26">
        <v>0.01</v>
      </c>
      <c r="C8" s="26">
        <v>0.01</v>
      </c>
      <c r="D8" s="26">
        <v>0.01</v>
      </c>
    </row>
    <row r="9" spans="1:4" ht="15">
      <c r="A9" s="7" t="s">
        <v>21</v>
      </c>
      <c r="B9" s="12" t="s">
        <v>22</v>
      </c>
      <c r="C9" s="12" t="s">
        <v>22</v>
      </c>
      <c r="D9" s="12" t="s">
        <v>22</v>
      </c>
    </row>
    <row r="10" spans="1:4" ht="15">
      <c r="A10" s="7" t="s">
        <v>23</v>
      </c>
      <c r="B10" s="12">
        <v>3</v>
      </c>
      <c r="C10" s="12">
        <v>3</v>
      </c>
      <c r="D10" s="12">
        <v>3</v>
      </c>
    </row>
    <row r="11" spans="1:4">
      <c r="A11" s="4" t="s">
        <v>24</v>
      </c>
      <c r="B11" s="13"/>
      <c r="C11" s="13"/>
      <c r="D11" s="13"/>
    </row>
    <row r="12" spans="1:4" ht="15" customHeight="1">
      <c r="A12" s="7" t="s">
        <v>25</v>
      </c>
      <c r="B12" s="12">
        <v>192</v>
      </c>
      <c r="C12" s="12">
        <v>192</v>
      </c>
      <c r="D12" s="12">
        <v>192</v>
      </c>
    </row>
    <row r="13" spans="1:4" ht="15">
      <c r="A13" s="7" t="s">
        <v>27</v>
      </c>
      <c r="B13" s="12">
        <v>64</v>
      </c>
      <c r="C13" s="12">
        <v>64</v>
      </c>
      <c r="D13" s="12">
        <v>64</v>
      </c>
    </row>
    <row r="14" spans="1:4" ht="15">
      <c r="A14" s="15" t="s">
        <v>29</v>
      </c>
      <c r="B14" s="82">
        <v>2</v>
      </c>
      <c r="C14" s="82">
        <v>2</v>
      </c>
      <c r="D14" s="82">
        <v>2</v>
      </c>
    </row>
    <row r="15" spans="1:4" ht="15">
      <c r="A15" s="10" t="s">
        <v>31</v>
      </c>
      <c r="B15" s="83">
        <v>33</v>
      </c>
      <c r="C15" s="83">
        <v>33</v>
      </c>
      <c r="D15" s="83">
        <v>33</v>
      </c>
    </row>
    <row r="16" spans="1:4" ht="1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</row>
    <row r="17" spans="1:4" ht="30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</row>
    <row r="18" spans="1:4" ht="45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</row>
    <row r="19" spans="1:4" ht="15">
      <c r="A19" s="7" t="s">
        <v>39</v>
      </c>
      <c r="B19" s="12">
        <v>8</v>
      </c>
      <c r="C19" s="12">
        <v>8</v>
      </c>
      <c r="D19" s="12">
        <v>8</v>
      </c>
    </row>
    <row r="20" spans="1:4" ht="45">
      <c r="A20" s="15" t="s">
        <v>41</v>
      </c>
      <c r="B20" s="82">
        <v>2.65</v>
      </c>
      <c r="C20" s="82">
        <v>2.65</v>
      </c>
      <c r="D20" s="82">
        <v>2.65</v>
      </c>
    </row>
    <row r="21" spans="1:4" ht="61.5" customHeight="1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</row>
    <row r="22" spans="1:4" ht="15">
      <c r="A22" s="7" t="s">
        <v>45</v>
      </c>
      <c r="B22" s="12">
        <v>0</v>
      </c>
      <c r="C22" s="12">
        <v>0</v>
      </c>
      <c r="D22" s="12">
        <v>0</v>
      </c>
    </row>
    <row r="23" spans="1:4" ht="15">
      <c r="A23" s="7" t="s">
        <v>47</v>
      </c>
      <c r="B23" s="12">
        <v>0</v>
      </c>
      <c r="C23" s="12">
        <v>0</v>
      </c>
      <c r="D23" s="12">
        <v>0</v>
      </c>
    </row>
    <row r="24" spans="1:4" ht="30">
      <c r="A24" s="7" t="s">
        <v>48</v>
      </c>
      <c r="B24" s="12">
        <v>3</v>
      </c>
      <c r="C24" s="12">
        <v>3</v>
      </c>
      <c r="D24" s="12">
        <v>3</v>
      </c>
    </row>
    <row r="25" spans="1:4" ht="15">
      <c r="A25" s="7" t="s">
        <v>49</v>
      </c>
      <c r="B25" s="9" t="s">
        <v>16</v>
      </c>
      <c r="C25" s="9" t="s">
        <v>16</v>
      </c>
      <c r="D25" s="9" t="s">
        <v>16</v>
      </c>
    </row>
    <row r="26" spans="1:4" ht="15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</row>
    <row r="27" spans="1:4">
      <c r="A27" s="4" t="s">
        <v>52</v>
      </c>
      <c r="B27" s="13"/>
      <c r="C27" s="13"/>
      <c r="D27" s="13"/>
    </row>
    <row r="28" spans="1:4" ht="15">
      <c r="A28" s="7" t="s">
        <v>53</v>
      </c>
      <c r="B28" s="12">
        <v>4</v>
      </c>
      <c r="C28" s="12">
        <v>2</v>
      </c>
      <c r="D28" s="12">
        <v>1</v>
      </c>
    </row>
    <row r="29" spans="1:4" ht="15">
      <c r="A29" s="7" t="s">
        <v>54</v>
      </c>
      <c r="B29" s="12">
        <v>4</v>
      </c>
      <c r="C29" s="12">
        <v>2</v>
      </c>
      <c r="D29" s="12">
        <v>1</v>
      </c>
    </row>
    <row r="30" spans="1:4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 ht="15">
      <c r="A31" s="7" t="s">
        <v>57</v>
      </c>
      <c r="B31" s="12">
        <v>0</v>
      </c>
      <c r="C31" s="12">
        <v>-3</v>
      </c>
      <c r="D31" s="12">
        <v>-3</v>
      </c>
    </row>
    <row r="32" spans="1:4" ht="45">
      <c r="A32" s="14" t="s">
        <v>58</v>
      </c>
      <c r="B32" s="12">
        <v>0</v>
      </c>
      <c r="C32" s="12">
        <v>0</v>
      </c>
      <c r="D32" s="12">
        <v>0</v>
      </c>
    </row>
    <row r="33" spans="1:4" ht="28.5">
      <c r="A33" s="20" t="s">
        <v>105</v>
      </c>
      <c r="B33" s="12">
        <v>0</v>
      </c>
      <c r="C33" s="12">
        <v>0</v>
      </c>
      <c r="D33" s="12">
        <v>0</v>
      </c>
    </row>
    <row r="34" spans="1:4" ht="30">
      <c r="A34" s="7" t="s">
        <v>60</v>
      </c>
      <c r="B34" s="12">
        <v>1</v>
      </c>
      <c r="C34" s="12">
        <v>1</v>
      </c>
      <c r="D34" s="12">
        <v>1</v>
      </c>
    </row>
    <row r="35" spans="1:4" ht="15">
      <c r="A35" s="7" t="s">
        <v>61</v>
      </c>
      <c r="B35" s="8">
        <v>7</v>
      </c>
      <c r="C35" s="8">
        <v>7</v>
      </c>
      <c r="D35" s="8">
        <v>7</v>
      </c>
    </row>
    <row r="36" spans="1:4" ht="15">
      <c r="A36" s="7" t="s">
        <v>62</v>
      </c>
      <c r="B36" s="8">
        <v>-174</v>
      </c>
      <c r="C36" s="8">
        <v>-174</v>
      </c>
      <c r="D36" s="8">
        <v>-174</v>
      </c>
    </row>
    <row r="37" spans="1:4" ht="15">
      <c r="A37" s="14" t="s">
        <v>63</v>
      </c>
      <c r="B37" s="12" t="s">
        <v>16</v>
      </c>
      <c r="C37" s="12" t="s">
        <v>16</v>
      </c>
      <c r="D37" s="12" t="s">
        <v>16</v>
      </c>
    </row>
    <row r="38" spans="1:4" ht="15">
      <c r="A38" s="15" t="s">
        <v>65</v>
      </c>
      <c r="B38" s="82">
        <v>-169.3</v>
      </c>
      <c r="C38" s="82">
        <v>-169.3</v>
      </c>
      <c r="D38" s="82">
        <v>-169.3</v>
      </c>
    </row>
    <row r="39" spans="1:4" ht="30">
      <c r="A39" s="7" t="s">
        <v>106</v>
      </c>
      <c r="B39" s="9" t="s">
        <v>16</v>
      </c>
      <c r="C39" s="9" t="s">
        <v>16</v>
      </c>
      <c r="D39" s="9" t="s">
        <v>16</v>
      </c>
    </row>
    <row r="40" spans="1:4" ht="30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 ht="15">
      <c r="A41" s="20" t="s">
        <v>68</v>
      </c>
      <c r="B41" s="12" t="s">
        <v>16</v>
      </c>
      <c r="C41" s="12" t="s">
        <v>16</v>
      </c>
      <c r="D41" s="12" t="s">
        <v>16</v>
      </c>
    </row>
    <row r="42" spans="1:4" ht="15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</row>
    <row r="43" spans="1:4" ht="15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 ht="15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</row>
    <row r="45" spans="1:4" ht="15">
      <c r="A45" s="20" t="s">
        <v>73</v>
      </c>
      <c r="B45" s="12" t="s">
        <v>16</v>
      </c>
      <c r="C45" s="12" t="s">
        <v>16</v>
      </c>
      <c r="D45" s="12" t="s">
        <v>16</v>
      </c>
    </row>
    <row r="46" spans="1:4" ht="15">
      <c r="A46" s="28" t="s">
        <v>75</v>
      </c>
      <c r="B46" s="16">
        <v>-11.6</v>
      </c>
      <c r="C46" s="16">
        <v>-9.1999999999999993</v>
      </c>
      <c r="D46" s="16">
        <v>-6.11</v>
      </c>
    </row>
    <row r="47" spans="1:4" ht="15">
      <c r="A47" s="7" t="s">
        <v>76</v>
      </c>
      <c r="B47" s="12">
        <v>2</v>
      </c>
      <c r="C47" s="12">
        <v>2</v>
      </c>
      <c r="D47" s="12">
        <v>2</v>
      </c>
    </row>
    <row r="48" spans="1:4" ht="30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>
      <c r="A49" s="7" t="s">
        <v>79</v>
      </c>
      <c r="B49" s="8">
        <v>0</v>
      </c>
      <c r="C49" s="8">
        <v>0</v>
      </c>
      <c r="D49" s="8">
        <v>0</v>
      </c>
    </row>
    <row r="50" spans="1:4" ht="30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30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</row>
    <row r="52" spans="1:4" ht="30">
      <c r="A52" s="23" t="s">
        <v>83</v>
      </c>
      <c r="B52" s="24" t="s">
        <v>16</v>
      </c>
      <c r="C52" s="24" t="s">
        <v>16</v>
      </c>
      <c r="D52" s="24" t="s">
        <v>16</v>
      </c>
    </row>
    <row r="53" spans="1:4" ht="30">
      <c r="A53" s="29" t="s">
        <v>85</v>
      </c>
      <c r="B53" s="22">
        <f>B26+B30+B33-B34-B51</f>
        <v>160.76190068970607</v>
      </c>
      <c r="C53" s="22">
        <f t="shared" ref="C53:D53" si="2">C26+C30+C33-C34-C51</f>
        <v>155.36190068970609</v>
      </c>
      <c r="D53" s="22">
        <f t="shared" si="2"/>
        <v>152.27190068970609</v>
      </c>
    </row>
    <row r="54" spans="1:4">
      <c r="A54" s="4" t="s">
        <v>86</v>
      </c>
      <c r="B54" s="13"/>
      <c r="C54" s="13"/>
      <c r="D54" s="13"/>
    </row>
    <row r="55" spans="1:4" ht="16.5" customHeight="1">
      <c r="A55" s="15" t="s">
        <v>87</v>
      </c>
      <c r="B55" s="82">
        <v>7</v>
      </c>
      <c r="C55" s="82">
        <v>7</v>
      </c>
      <c r="D55" s="82">
        <v>7</v>
      </c>
    </row>
    <row r="56" spans="1:4" ht="30">
      <c r="A56" s="14" t="s">
        <v>89</v>
      </c>
      <c r="B56" s="25" t="s">
        <v>16</v>
      </c>
      <c r="C56" s="25" t="s">
        <v>16</v>
      </c>
      <c r="D56" s="25" t="s">
        <v>16</v>
      </c>
    </row>
    <row r="57" spans="1:4" ht="30">
      <c r="A57" s="30" t="s">
        <v>90</v>
      </c>
      <c r="B57" s="82">
        <v>7.56</v>
      </c>
      <c r="C57" s="82">
        <v>7.56</v>
      </c>
      <c r="D57" s="82">
        <v>7.56</v>
      </c>
    </row>
    <row r="58" spans="1:4" ht="15">
      <c r="A58" s="15" t="s">
        <v>91</v>
      </c>
      <c r="B58" s="82">
        <v>0</v>
      </c>
      <c r="C58" s="82">
        <v>0</v>
      </c>
      <c r="D58" s="82">
        <v>0</v>
      </c>
    </row>
    <row r="59" spans="1:4" ht="15">
      <c r="A59" s="15" t="s">
        <v>92</v>
      </c>
      <c r="B59" s="82">
        <v>26.25</v>
      </c>
      <c r="C59" s="82">
        <v>26.25</v>
      </c>
      <c r="D59" s="82">
        <v>26.25</v>
      </c>
    </row>
    <row r="60" spans="1:4" ht="15">
      <c r="A60" s="15" t="s">
        <v>93</v>
      </c>
      <c r="B60" s="82">
        <v>0</v>
      </c>
      <c r="C60" s="82">
        <v>0</v>
      </c>
      <c r="D60" s="82">
        <v>0</v>
      </c>
    </row>
    <row r="61" spans="1:4" ht="30">
      <c r="A61" s="31" t="s">
        <v>108</v>
      </c>
      <c r="B61" s="24" t="s">
        <v>16</v>
      </c>
      <c r="C61" s="24" t="s">
        <v>16</v>
      </c>
      <c r="D61" s="24" t="s">
        <v>16</v>
      </c>
    </row>
    <row r="62" spans="1:4" ht="30">
      <c r="A62" s="29" t="s">
        <v>109</v>
      </c>
      <c r="B62" s="22">
        <f>B53-B57+B58-B59+B60</f>
        <v>126.95190068970606</v>
      </c>
      <c r="C62" s="22">
        <f t="shared" ref="C62:D62" si="3">C53-C57+C58-C59+C60</f>
        <v>121.55190068970609</v>
      </c>
      <c r="D62" s="22">
        <f t="shared" si="3"/>
        <v>118.46190068970608</v>
      </c>
    </row>
    <row r="63" spans="1:4">
      <c r="C63" s="2"/>
      <c r="D63" s="2"/>
    </row>
    <row r="64" spans="1:4" ht="15">
      <c r="A64" s="31" t="s">
        <v>97</v>
      </c>
      <c r="B64" s="24" t="s">
        <v>16</v>
      </c>
      <c r="C64" s="24" t="s">
        <v>16</v>
      </c>
      <c r="D64" s="24" t="s">
        <v>16</v>
      </c>
    </row>
    <row r="65" spans="1:4" ht="15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</row>
  </sheetData>
  <mergeCells count="1">
    <mergeCell ref="B1:D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G2" sqref="G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spans="1:5" ht="14.25" customHeight="1">
      <c r="A1" s="3"/>
      <c r="B1" s="90" t="s">
        <v>119</v>
      </c>
      <c r="C1" s="90"/>
      <c r="D1" s="90" t="s">
        <v>129</v>
      </c>
      <c r="E1" s="90"/>
    </row>
    <row r="2" spans="1: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</row>
    <row r="3" spans="1: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</row>
    <row r="4" spans="1: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</row>
    <row r="5" spans="1: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</row>
    <row r="6" spans="1: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</row>
    <row r="7" spans="1:5" ht="30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</row>
    <row r="8" spans="1: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</row>
    <row r="9" spans="1:5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</row>
    <row r="10" spans="1:5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</row>
    <row r="11" spans="1:5">
      <c r="A11" s="4" t="s">
        <v>24</v>
      </c>
      <c r="B11" s="13"/>
      <c r="C11" s="13"/>
      <c r="D11" s="13"/>
      <c r="E11" s="13"/>
    </row>
    <row r="12" spans="1: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</row>
    <row r="13" spans="1:5" ht="15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</row>
    <row r="14" spans="1:5" ht="15">
      <c r="A14" s="14" t="s">
        <v>29</v>
      </c>
      <c r="B14" s="12">
        <v>1</v>
      </c>
      <c r="C14" s="12">
        <v>1</v>
      </c>
      <c r="D14" s="8">
        <v>1</v>
      </c>
      <c r="E14" s="8">
        <v>1</v>
      </c>
    </row>
    <row r="15" spans="1:5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</row>
    <row r="16" spans="1: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</row>
    <row r="17" spans="1: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</row>
    <row r="18" spans="1:5" ht="45">
      <c r="A18" s="14" t="s">
        <v>37</v>
      </c>
      <c r="B18" s="12">
        <f>B19+10*LOG10(B12/B14)-B20</f>
        <v>0</v>
      </c>
      <c r="C18" s="12">
        <f>C19+10*LOG10(C12/C14)-C20</f>
        <v>-3</v>
      </c>
      <c r="D18" s="8">
        <f>D19+10*LOG10(D12/D14)-D20</f>
        <v>0</v>
      </c>
      <c r="E18" s="8">
        <f>E19+10*LOG10(E12/E14)-E20</f>
        <v>-3</v>
      </c>
    </row>
    <row r="19" spans="1: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</row>
    <row r="20" spans="1:5" ht="45">
      <c r="A20" s="14" t="s">
        <v>41</v>
      </c>
      <c r="B20" s="12">
        <v>0</v>
      </c>
      <c r="C20" s="12">
        <v>0</v>
      </c>
      <c r="D20" s="8">
        <v>0</v>
      </c>
      <c r="E20" s="8">
        <v>0</v>
      </c>
    </row>
    <row r="21" spans="1:5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</row>
    <row r="22" spans="1: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</row>
    <row r="23" spans="1: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</row>
    <row r="24" spans="1: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</row>
    <row r="25" spans="1:5" ht="15">
      <c r="A25" s="7" t="s">
        <v>49</v>
      </c>
      <c r="B25" s="8">
        <f>B17+B18+B21+B22-B24</f>
        <v>22</v>
      </c>
      <c r="C25" s="8">
        <f>C17+C18+C21+C22-C24</f>
        <v>19</v>
      </c>
      <c r="D25" s="8">
        <f>D17+D18+D21+D22-D24</f>
        <v>22</v>
      </c>
      <c r="E25" s="8">
        <f>E17+E18+E21+E22-E24</f>
        <v>19</v>
      </c>
    </row>
    <row r="26" spans="1: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</row>
    <row r="27" spans="1:5">
      <c r="A27" s="4" t="s">
        <v>52</v>
      </c>
      <c r="B27" s="13"/>
      <c r="C27" s="13"/>
      <c r="D27" s="13"/>
      <c r="E27" s="13"/>
    </row>
    <row r="28" spans="1:5" ht="15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</row>
    <row r="29" spans="1:5" ht="15">
      <c r="A29" s="15" t="s">
        <v>54</v>
      </c>
      <c r="B29" s="82">
        <v>2</v>
      </c>
      <c r="C29" s="82">
        <v>2</v>
      </c>
      <c r="D29" s="82">
        <v>2</v>
      </c>
      <c r="E29" s="82">
        <v>2</v>
      </c>
    </row>
    <row r="30" spans="1:5" ht="45">
      <c r="A30" s="7" t="s">
        <v>56</v>
      </c>
      <c r="B30" s="12">
        <f>B31+10*LOG10(B28/B13)-B32</f>
        <v>12.771212547196624</v>
      </c>
      <c r="C30" s="12">
        <f>C31+10*LOG10(C28/C13)-C32</f>
        <v>12.771212547196624</v>
      </c>
      <c r="D30" s="8">
        <f>D31+10*LOG10(D28/D13)-D32</f>
        <v>12.771212547196624</v>
      </c>
      <c r="E30" s="8">
        <f>E31+10*LOG10(E28/E13)-E32</f>
        <v>12.771212547196624</v>
      </c>
    </row>
    <row r="31" spans="1: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</row>
    <row r="32" spans="1:5" ht="45">
      <c r="A32" s="15" t="s">
        <v>58</v>
      </c>
      <c r="B32" s="82">
        <v>0</v>
      </c>
      <c r="C32" s="82">
        <v>0</v>
      </c>
      <c r="D32" s="82">
        <v>0</v>
      </c>
      <c r="E32" s="82">
        <v>0</v>
      </c>
    </row>
    <row r="33" spans="1:5" ht="28.5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</row>
    <row r="34" spans="1: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</row>
    <row r="35" spans="1: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</row>
    <row r="36" spans="1: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</row>
    <row r="37" spans="1:5" ht="15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</row>
    <row r="38" spans="1:5" ht="15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</row>
    <row r="39" spans="1:5" ht="30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  <c r="D39" s="8">
        <f>10*LOG10(10^((D35+D36)/10)+10^(D37/10))</f>
        <v>-164.03352307536667</v>
      </c>
      <c r="E39" s="8">
        <f>10*LOG10(10^((E35+E36)/10)+10^(E37/10))</f>
        <v>-164.03352307536667</v>
      </c>
    </row>
    <row r="40" spans="1:5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</row>
    <row r="41" spans="1:5" ht="15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</row>
    <row r="42" spans="1:5" ht="15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</row>
    <row r="43" spans="1:5" ht="15">
      <c r="A43" s="7" t="s">
        <v>71</v>
      </c>
      <c r="B43" s="12">
        <f>B39+10*LOG10(B41)</f>
        <v>-94.603551432304087</v>
      </c>
      <c r="C43" s="12">
        <f>C39+10*LOG10(C41)</f>
        <v>-94.603551432304087</v>
      </c>
      <c r="D43" s="8">
        <f>D39+10*LOG10(D41)</f>
        <v>-105.46019811105398</v>
      </c>
      <c r="E43" s="8">
        <f>E39+10*LOG10(E41)</f>
        <v>-105.46019811105398</v>
      </c>
    </row>
    <row r="44" spans="1: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</row>
    <row r="45" spans="1:5" ht="15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</row>
    <row r="46" spans="1:5" ht="15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</row>
    <row r="47" spans="1: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</row>
    <row r="48" spans="1: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</row>
    <row r="49" spans="1: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</row>
    <row r="50" spans="1:5" ht="30">
      <c r="A50" s="7" t="s">
        <v>80</v>
      </c>
      <c r="B50" s="12">
        <f>B43+B45+B47-B48</f>
        <v>-102.85355143230409</v>
      </c>
      <c r="C50" s="12">
        <f>C43+C45+C47-C48</f>
        <v>-102.85355143230409</v>
      </c>
      <c r="D50" s="8">
        <f>D43+D45+D47-D48</f>
        <v>-103.46019811105398</v>
      </c>
      <c r="E50" s="8">
        <f>E43+E45+E47-E48</f>
        <v>-103.46019811105398</v>
      </c>
    </row>
    <row r="51" spans="1:5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</row>
    <row r="52" spans="1:5" ht="30">
      <c r="A52" s="21" t="s">
        <v>83</v>
      </c>
      <c r="B52" s="22">
        <f>B25+B30+B33-B34-B50</f>
        <v>149.67626376269976</v>
      </c>
      <c r="C52" s="22">
        <f>C25+C30+C33-C34-C50</f>
        <v>146.67626376269976</v>
      </c>
      <c r="D52" s="22">
        <f>D25+D30+D33-D34-D50</f>
        <v>150.28141065825059</v>
      </c>
      <c r="E52" s="22">
        <f>E25+E30+E33-E34-E50</f>
        <v>147.28141065825059</v>
      </c>
    </row>
    <row r="53" spans="1:5" ht="30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</row>
    <row r="54" spans="1:5">
      <c r="A54" s="4" t="s">
        <v>86</v>
      </c>
      <c r="B54" s="13"/>
      <c r="C54" s="13"/>
      <c r="D54" s="13"/>
      <c r="E54" s="13"/>
    </row>
    <row r="55" spans="1:5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</row>
    <row r="56" spans="1:5" ht="30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</row>
    <row r="57" spans="1:5" ht="30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</row>
    <row r="58" spans="1:5" ht="15">
      <c r="A58" s="15" t="s">
        <v>91</v>
      </c>
      <c r="B58" s="82">
        <v>0</v>
      </c>
      <c r="C58" s="82">
        <v>0</v>
      </c>
      <c r="D58" s="82">
        <v>0</v>
      </c>
      <c r="E58" s="82">
        <v>0</v>
      </c>
    </row>
    <row r="59" spans="1:5" ht="15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</row>
    <row r="60" spans="1:5" ht="15">
      <c r="A60" s="15" t="s">
        <v>93</v>
      </c>
      <c r="B60" s="82">
        <v>0</v>
      </c>
      <c r="C60" s="82">
        <v>0</v>
      </c>
      <c r="D60" s="82">
        <v>0</v>
      </c>
      <c r="E60" s="82">
        <v>0</v>
      </c>
    </row>
    <row r="61" spans="1:5" ht="30">
      <c r="A61" s="21" t="s">
        <v>108</v>
      </c>
      <c r="B61" s="22">
        <f>B52-B56+B58-B59+B60</f>
        <v>115.86626376269976</v>
      </c>
      <c r="C61" s="22">
        <f>C52-C56+C58-C59+C60</f>
        <v>112.86626376269976</v>
      </c>
      <c r="D61" s="22">
        <f>D52-D56+D58-D59+D60</f>
        <v>119.1514106582506</v>
      </c>
      <c r="E61" s="22">
        <f>E52-E56+E58-E59+E60</f>
        <v>116.1514106582506</v>
      </c>
    </row>
    <row r="62" spans="1:5" ht="30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</row>
    <row r="63" spans="1:5">
      <c r="C63" s="2"/>
      <c r="E63" s="2"/>
    </row>
    <row r="64" spans="1:5" ht="15">
      <c r="A64" s="21" t="s">
        <v>97</v>
      </c>
      <c r="B64" s="22">
        <f>B17+B22-B50+B21+B33</f>
        <v>140.90505121550314</v>
      </c>
      <c r="C64" s="22">
        <f>C17+C22-C50+C21+C33</f>
        <v>140.90505121550314</v>
      </c>
      <c r="D64" s="22">
        <f>D17+D22-D50+D21+D33</f>
        <v>141.510198111054</v>
      </c>
      <c r="E64" s="22">
        <f>E17+E22-E50+E21+E33</f>
        <v>141.510198111054</v>
      </c>
    </row>
    <row r="65" spans="1:5" ht="15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</row>
  </sheetData>
  <mergeCells count="2">
    <mergeCell ref="B1:C1"/>
    <mergeCell ref="D1:E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7" width="20.25" style="1" customWidth="1"/>
    <col min="8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 ht="15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 ht="15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 ht="15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30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30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30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30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 ht="15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 ht="1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30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30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 ht="15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 ht="15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 ht="15">
      <c r="A75" s="37"/>
      <c r="B75" s="2"/>
      <c r="C75" s="2"/>
      <c r="D75" s="2"/>
      <c r="E75" s="35"/>
      <c r="F75" s="38"/>
    </row>
    <row r="77" spans="1:7" ht="15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5"/>
  <sheetViews>
    <sheetView zoomScaleNormal="100" workbookViewId="0">
      <pane xSplit="1" ySplit="1" topLeftCell="S41" activePane="bottomRight" state="frozen"/>
      <selection pane="topRight"/>
      <selection pane="bottomLeft"/>
      <selection pane="bottomRight" activeCell="P75" sqref="P75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25" style="1" bestFit="1" customWidth="1"/>
    <col min="18" max="19" width="15.625" style="1" bestFit="1" customWidth="1"/>
    <col min="20" max="20" width="16.25" style="1" customWidth="1"/>
    <col min="21" max="21" width="15" style="1" customWidth="1"/>
    <col min="22" max="22" width="15.5" style="1" customWidth="1"/>
    <col min="23" max="23" width="15.625" style="2" customWidth="1"/>
    <col min="24" max="25" width="15.625" style="1" customWidth="1"/>
    <col min="26" max="16384" width="9" style="1"/>
  </cols>
  <sheetData>
    <row r="1" spans="1:25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</row>
    <row r="2" spans="1:25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</row>
    <row r="3" spans="1:2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</row>
    <row r="4" spans="1:2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</row>
    <row r="5" spans="1:2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</row>
    <row r="7" spans="1:25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</row>
    <row r="8" spans="1:2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</row>
    <row r="9" spans="1:2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</row>
    <row r="10" spans="1:2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</row>
    <row r="13" spans="1:2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</row>
    <row r="14" spans="1:25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</row>
    <row r="15" spans="1:25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</row>
    <row r="16" spans="1:25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</row>
    <row r="17" spans="1:25" ht="30">
      <c r="A17" s="7" t="s">
        <v>35</v>
      </c>
      <c r="B17" s="12">
        <f t="shared" ref="B17:G17" si="4">B15+10*LOG10(B41/1000000)</f>
        <v>45.375437381428746</v>
      </c>
      <c r="C17" s="12">
        <f t="shared" si="4"/>
        <v>45.375437381428746</v>
      </c>
      <c r="D17" s="12">
        <f t="shared" si="4"/>
        <v>45.375437381428746</v>
      </c>
      <c r="E17" s="12">
        <f t="shared" si="4"/>
        <v>45.375437381428746</v>
      </c>
      <c r="F17" s="12"/>
      <c r="G17" s="12">
        <f t="shared" si="4"/>
        <v>45.375437381428746</v>
      </c>
      <c r="H17" s="71">
        <f t="shared" ref="H17:M17" si="5">H15+10*LOG10(H41/1000000)</f>
        <v>45.375437381428746</v>
      </c>
      <c r="I17" s="71">
        <f t="shared" si="5"/>
        <v>45.375437381428746</v>
      </c>
      <c r="J17" s="71">
        <f t="shared" si="5"/>
        <v>45.375437381428746</v>
      </c>
      <c r="K17" s="12">
        <f t="shared" si="5"/>
        <v>45.375437381428746</v>
      </c>
      <c r="L17" s="12">
        <f t="shared" si="5"/>
        <v>45.375437381428746</v>
      </c>
      <c r="M17" s="12">
        <f t="shared" si="5"/>
        <v>45.375437381428746</v>
      </c>
      <c r="N17" s="12">
        <f t="shared" ref="N17:S17" si="6">N15+10*LOG10(N41/1000000)</f>
        <v>45.375437381428746</v>
      </c>
      <c r="O17" s="12">
        <f t="shared" si="6"/>
        <v>45.375437381428746</v>
      </c>
      <c r="P17" s="12">
        <f t="shared" si="6"/>
        <v>45.375437381428746</v>
      </c>
      <c r="Q17" s="12">
        <f t="shared" si="6"/>
        <v>45.375437381428746</v>
      </c>
      <c r="R17" s="12">
        <f t="shared" si="6"/>
        <v>45.375437381428746</v>
      </c>
      <c r="S17" s="12">
        <f t="shared" si="6"/>
        <v>45.375437381428746</v>
      </c>
      <c r="T17" s="8">
        <f t="shared" ref="T17:Y17" si="7">T15+10*LOG10(T41/1000000)</f>
        <v>45.375437381428746</v>
      </c>
      <c r="U17" s="8">
        <f t="shared" si="7"/>
        <v>45.375437381428746</v>
      </c>
      <c r="V17" s="8">
        <f t="shared" si="7"/>
        <v>45.375437381428746</v>
      </c>
      <c r="W17" s="8">
        <f t="shared" si="7"/>
        <v>45.375437381428746</v>
      </c>
      <c r="X17" s="8">
        <f t="shared" si="7"/>
        <v>45.375437381428746</v>
      </c>
      <c r="Y17" s="8">
        <f t="shared" si="7"/>
        <v>45.375437381428746</v>
      </c>
    </row>
    <row r="18" spans="1:25" ht="45">
      <c r="A18" s="14" t="s">
        <v>37</v>
      </c>
      <c r="B18" s="12">
        <f t="shared" ref="B18:G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/>
      <c r="G18" s="12">
        <f t="shared" si="8"/>
        <v>9.8212125471966232</v>
      </c>
      <c r="H18" s="71">
        <f t="shared" ref="H18:M18" si="9">H19+10*LOG10(H12/H13)-H20</f>
        <v>12.771212547196624</v>
      </c>
      <c r="I18" s="71">
        <f t="shared" si="9"/>
        <v>12.771212547196624</v>
      </c>
      <c r="J18" s="71">
        <f t="shared" si="9"/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12.771212547196624</v>
      </c>
      <c r="N18" s="12">
        <f t="shared" ref="N18:S18" si="10">N19+10*LOG10(N12/N13)-N20</f>
        <v>10.121212547196624</v>
      </c>
      <c r="O18" s="12">
        <f t="shared" si="10"/>
        <v>10.121212547196624</v>
      </c>
      <c r="P18" s="12">
        <f t="shared" si="10"/>
        <v>10.121212547196624</v>
      </c>
      <c r="Q18" s="12">
        <f t="shared" si="10"/>
        <v>12.771212547196624</v>
      </c>
      <c r="R18" s="12">
        <f t="shared" si="10"/>
        <v>12.771212547196624</v>
      </c>
      <c r="S18" s="12">
        <f t="shared" si="10"/>
        <v>12.771212547196624</v>
      </c>
      <c r="T18" s="8">
        <f t="shared" ref="T18:Y18" si="11">T19+10*LOG10(T12/T13)-T20</f>
        <v>12.771212547196624</v>
      </c>
      <c r="U18" s="8">
        <f t="shared" si="11"/>
        <v>12.771212547196624</v>
      </c>
      <c r="V18" s="8">
        <f t="shared" si="11"/>
        <v>12.771212547196624</v>
      </c>
      <c r="W18" s="8">
        <f t="shared" si="11"/>
        <v>12.771212547196624</v>
      </c>
      <c r="X18" s="8">
        <f t="shared" si="11"/>
        <v>12.771212547196624</v>
      </c>
      <c r="Y18" s="8">
        <f t="shared" si="11"/>
        <v>12.771212547196624</v>
      </c>
    </row>
    <row r="19" spans="1:2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</row>
    <row r="20" spans="1:25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</row>
    <row r="21" spans="1:25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2">10*LOG10(O13/O14)</f>
        <v>15.051499783199061</v>
      </c>
      <c r="P21" s="16">
        <f t="shared" si="12"/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</row>
    <row r="22" spans="1:2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</row>
    <row r="25" spans="1:25" ht="15">
      <c r="A25" s="7" t="s">
        <v>49</v>
      </c>
      <c r="B25" s="12">
        <f t="shared" ref="B25:G25" si="13">B17+B18+B21+B22-B24</f>
        <v>67.146649928625379</v>
      </c>
      <c r="C25" s="12">
        <f t="shared" si="13"/>
        <v>67.146649928625379</v>
      </c>
      <c r="D25" s="12">
        <f t="shared" si="13"/>
        <v>67.146649928625379</v>
      </c>
      <c r="E25" s="12">
        <f t="shared" si="13"/>
        <v>64.236649928625368</v>
      </c>
      <c r="F25" s="12"/>
      <c r="G25" s="12">
        <f t="shared" si="13"/>
        <v>64.236649928625368</v>
      </c>
      <c r="H25" s="71">
        <f t="shared" ref="H25:M25" si="14">H17+H18+H21+H22-H24</f>
        <v>67.146649928625379</v>
      </c>
      <c r="I25" s="71">
        <f t="shared" si="14"/>
        <v>67.146649928625379</v>
      </c>
      <c r="J25" s="71">
        <f t="shared" si="14"/>
        <v>67.146649928625379</v>
      </c>
      <c r="K25" s="12">
        <f t="shared" si="14"/>
        <v>67.146649928625379</v>
      </c>
      <c r="L25" s="12">
        <f t="shared" si="14"/>
        <v>67.146649928625379</v>
      </c>
      <c r="M25" s="12">
        <f t="shared" si="14"/>
        <v>67.146649928625379</v>
      </c>
      <c r="N25" s="12">
        <f t="shared" ref="N25:S25" si="15">N17+N18+N21+N22-N24</f>
        <v>67.548149711824436</v>
      </c>
      <c r="O25" s="12">
        <f t="shared" si="15"/>
        <v>67.548149711824436</v>
      </c>
      <c r="P25" s="12">
        <f t="shared" si="15"/>
        <v>67.548149711824436</v>
      </c>
      <c r="Q25" s="12">
        <f t="shared" si="15"/>
        <v>63.146649928625379</v>
      </c>
      <c r="R25" s="12">
        <f t="shared" si="15"/>
        <v>63.146649928625379</v>
      </c>
      <c r="S25" s="12">
        <f t="shared" si="15"/>
        <v>63.146649928625379</v>
      </c>
      <c r="T25" s="8">
        <f t="shared" ref="T25:Y25" si="16">T17+T18+T21+T22-T24</f>
        <v>67.146649928625379</v>
      </c>
      <c r="U25" s="8">
        <f t="shared" si="16"/>
        <v>67.146649928625379</v>
      </c>
      <c r="V25" s="8">
        <f t="shared" si="16"/>
        <v>67.146649928625379</v>
      </c>
      <c r="W25" s="8">
        <f t="shared" si="16"/>
        <v>70.196649928625376</v>
      </c>
      <c r="X25" s="8">
        <f t="shared" si="16"/>
        <v>70.196649928625376</v>
      </c>
      <c r="Y25" s="8">
        <f t="shared" si="16"/>
        <v>70.196649928625376</v>
      </c>
    </row>
    <row r="26" spans="1:2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</row>
    <row r="27" spans="1:2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</row>
    <row r="29" spans="1:25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</row>
    <row r="30" spans="1:25" ht="45">
      <c r="A30" s="7" t="s">
        <v>56</v>
      </c>
      <c r="B30" s="12">
        <f t="shared" ref="B30:G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/>
      <c r="G30" s="12">
        <f t="shared" si="17"/>
        <v>-3</v>
      </c>
      <c r="H30" s="71">
        <f t="shared" ref="H30:M30" si="18">H31+10*LOG10(H28/H29)-H32</f>
        <v>0</v>
      </c>
      <c r="I30" s="71">
        <f t="shared" si="18"/>
        <v>-3</v>
      </c>
      <c r="J30" s="71">
        <f t="shared" si="18"/>
        <v>-3</v>
      </c>
      <c r="K30" s="12">
        <f t="shared" si="18"/>
        <v>0</v>
      </c>
      <c r="L30" s="12">
        <f t="shared" si="18"/>
        <v>-3</v>
      </c>
      <c r="M30" s="12">
        <f t="shared" si="18"/>
        <v>-3</v>
      </c>
      <c r="N30" s="12">
        <f t="shared" ref="N30:S30" si="19">N31+10*LOG10(N28/N29)-N32</f>
        <v>0</v>
      </c>
      <c r="O30" s="12">
        <f t="shared" si="19"/>
        <v>-3</v>
      </c>
      <c r="P30" s="12">
        <f t="shared" si="19"/>
        <v>-3</v>
      </c>
      <c r="Q30" s="12">
        <f t="shared" si="19"/>
        <v>0</v>
      </c>
      <c r="R30" s="12">
        <f t="shared" si="19"/>
        <v>-3</v>
      </c>
      <c r="S30" s="12">
        <f t="shared" si="19"/>
        <v>-3</v>
      </c>
      <c r="T30" s="8">
        <f t="shared" ref="T30:Y30" si="20">T31+10*LOG10(T28/T29)-T32</f>
        <v>0</v>
      </c>
      <c r="U30" s="8">
        <f t="shared" si="20"/>
        <v>-3</v>
      </c>
      <c r="V30" s="8">
        <f t="shared" si="20"/>
        <v>-3</v>
      </c>
      <c r="W30" s="8">
        <f t="shared" si="20"/>
        <v>0</v>
      </c>
      <c r="X30" s="8">
        <f t="shared" si="20"/>
        <v>-3</v>
      </c>
      <c r="Y30" s="8">
        <f t="shared" si="20"/>
        <v>-3</v>
      </c>
    </row>
    <row r="31" spans="1:2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</row>
    <row r="32" spans="1:25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</row>
    <row r="33" spans="1:25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</row>
    <row r="34" spans="1:25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</row>
    <row r="35" spans="1:2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</row>
    <row r="36" spans="1:2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</row>
    <row r="38" spans="1:25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</row>
    <row r="39" spans="1:25" ht="30">
      <c r="A39" s="7" t="s">
        <v>106</v>
      </c>
      <c r="B39" s="12">
        <f t="shared" ref="B39:G39" si="21">10*LOG10(10^((B35+B36)/10)+10^(B37/10))</f>
        <v>-167.00000000000003</v>
      </c>
      <c r="C39" s="12">
        <f t="shared" si="21"/>
        <v>-167.00000000000003</v>
      </c>
      <c r="D39" s="12">
        <f t="shared" si="21"/>
        <v>-167.00000000000003</v>
      </c>
      <c r="E39" s="12">
        <f t="shared" si="21"/>
        <v>-167.00000000000003</v>
      </c>
      <c r="F39" s="12"/>
      <c r="G39" s="12">
        <f t="shared" si="21"/>
        <v>-167.00000000000003</v>
      </c>
      <c r="H39" s="71">
        <f t="shared" ref="H39:M39" si="22">10*LOG10(10^((H35+H36)/10)+10^(H37/10))</f>
        <v>-167.00000000000003</v>
      </c>
      <c r="I39" s="71">
        <f t="shared" si="22"/>
        <v>-167.00000000000003</v>
      </c>
      <c r="J39" s="71">
        <f t="shared" si="22"/>
        <v>-167.00000000000003</v>
      </c>
      <c r="K39" s="12">
        <f t="shared" si="22"/>
        <v>-167.00000000000003</v>
      </c>
      <c r="L39" s="12">
        <f t="shared" si="22"/>
        <v>-167.00000000000003</v>
      </c>
      <c r="M39" s="12">
        <f t="shared" si="22"/>
        <v>-167.00000000000003</v>
      </c>
      <c r="N39" s="12">
        <f t="shared" ref="N39:S39" si="23">10*LOG10(10^((N35+N36)/10)+10^(N37/10))</f>
        <v>-164.98918835931039</v>
      </c>
      <c r="O39" s="12">
        <f t="shared" si="23"/>
        <v>-164.98918835931039</v>
      </c>
      <c r="P39" s="12">
        <f t="shared" si="23"/>
        <v>-164.98918835931039</v>
      </c>
      <c r="Q39" s="12">
        <f t="shared" si="23"/>
        <v>-167.00000000000003</v>
      </c>
      <c r="R39" s="12">
        <f t="shared" si="23"/>
        <v>-167.00000000000003</v>
      </c>
      <c r="S39" s="12">
        <f t="shared" si="23"/>
        <v>-167.00000000000003</v>
      </c>
      <c r="T39" s="8">
        <f t="shared" ref="T39:Y39" si="24">10*LOG10(10^((T35+T36)/10)+10^(T37/10))</f>
        <v>-167.00000000000003</v>
      </c>
      <c r="U39" s="8">
        <f t="shared" si="24"/>
        <v>-167.00000000000003</v>
      </c>
      <c r="V39" s="8">
        <f t="shared" si="24"/>
        <v>-167.00000000000003</v>
      </c>
      <c r="W39" s="8">
        <f t="shared" si="24"/>
        <v>-164.98918835931039</v>
      </c>
      <c r="X39" s="8">
        <f t="shared" si="24"/>
        <v>-164.98918835931039</v>
      </c>
      <c r="Y39" s="8">
        <f t="shared" si="24"/>
        <v>-164.98918835931039</v>
      </c>
    </row>
    <row r="40" spans="1:25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</row>
    <row r="41" spans="1:25" ht="15">
      <c r="A41" s="20" t="s">
        <v>68</v>
      </c>
      <c r="B41" s="12">
        <f t="shared" ref="B41:G41" si="25">48*360*1000</f>
        <v>17280000</v>
      </c>
      <c r="C41" s="12">
        <f t="shared" si="25"/>
        <v>17280000</v>
      </c>
      <c r="D41" s="12">
        <f t="shared" si="25"/>
        <v>17280000</v>
      </c>
      <c r="E41" s="12">
        <f t="shared" si="25"/>
        <v>17280000</v>
      </c>
      <c r="F41" s="12"/>
      <c r="G41" s="12">
        <f t="shared" si="25"/>
        <v>17280000</v>
      </c>
      <c r="H41" s="71">
        <f t="shared" ref="H41:M41" si="26">48*360*1000</f>
        <v>17280000</v>
      </c>
      <c r="I41" s="71">
        <f t="shared" si="26"/>
        <v>17280000</v>
      </c>
      <c r="J41" s="71">
        <f t="shared" si="26"/>
        <v>17280000</v>
      </c>
      <c r="K41" s="12">
        <f t="shared" si="26"/>
        <v>17280000</v>
      </c>
      <c r="L41" s="12">
        <f t="shared" si="26"/>
        <v>17280000</v>
      </c>
      <c r="M41" s="12">
        <f t="shared" si="26"/>
        <v>17280000</v>
      </c>
      <c r="N41" s="12">
        <f t="shared" ref="N41:S41" si="27">48*360*1000</f>
        <v>17280000</v>
      </c>
      <c r="O41" s="12">
        <f t="shared" si="27"/>
        <v>17280000</v>
      </c>
      <c r="P41" s="12">
        <f t="shared" si="27"/>
        <v>17280000</v>
      </c>
      <c r="Q41" s="12">
        <f t="shared" si="27"/>
        <v>17280000</v>
      </c>
      <c r="R41" s="12">
        <f t="shared" si="27"/>
        <v>17280000</v>
      </c>
      <c r="S41" s="12">
        <f t="shared" si="27"/>
        <v>17280000</v>
      </c>
      <c r="T41" s="8">
        <f t="shared" ref="T41:Y41" si="28">48*360*1000</f>
        <v>17280000</v>
      </c>
      <c r="U41" s="8">
        <f t="shared" si="28"/>
        <v>17280000</v>
      </c>
      <c r="V41" s="8">
        <f t="shared" si="28"/>
        <v>17280000</v>
      </c>
      <c r="W41" s="8">
        <f t="shared" si="28"/>
        <v>17280000</v>
      </c>
      <c r="X41" s="8">
        <f t="shared" si="28"/>
        <v>17280000</v>
      </c>
      <c r="Y41" s="8">
        <f t="shared" si="28"/>
        <v>17280000</v>
      </c>
    </row>
    <row r="42" spans="1:25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</row>
    <row r="43" spans="1:25" ht="15">
      <c r="A43" s="7" t="s">
        <v>71</v>
      </c>
      <c r="B43" s="12">
        <f t="shared" ref="B43:G43" si="29">B39+10*LOG10(B41)</f>
        <v>-94.624562618571289</v>
      </c>
      <c r="C43" s="12">
        <f t="shared" si="29"/>
        <v>-94.624562618571289</v>
      </c>
      <c r="D43" s="12">
        <f t="shared" si="29"/>
        <v>-94.624562618571289</v>
      </c>
      <c r="E43" s="12">
        <f t="shared" si="29"/>
        <v>-94.624562618571289</v>
      </c>
      <c r="F43" s="12"/>
      <c r="G43" s="12">
        <f t="shared" si="29"/>
        <v>-94.624562618571289</v>
      </c>
      <c r="H43" s="71">
        <f t="shared" ref="H43:M43" si="30">H39+10*LOG10(H41)</f>
        <v>-94.624562618571289</v>
      </c>
      <c r="I43" s="71">
        <f t="shared" si="30"/>
        <v>-94.624562618571289</v>
      </c>
      <c r="J43" s="71">
        <f t="shared" si="30"/>
        <v>-94.624562618571289</v>
      </c>
      <c r="K43" s="12">
        <f t="shared" si="30"/>
        <v>-94.624562618571289</v>
      </c>
      <c r="L43" s="12">
        <f t="shared" si="30"/>
        <v>-94.624562618571289</v>
      </c>
      <c r="M43" s="12">
        <f t="shared" si="30"/>
        <v>-94.624562618571289</v>
      </c>
      <c r="N43" s="12">
        <f t="shared" ref="N43:S43" si="31">N39+10*LOG10(N41)</f>
        <v>-92.613750977881651</v>
      </c>
      <c r="O43" s="12">
        <f t="shared" si="31"/>
        <v>-92.613750977881651</v>
      </c>
      <c r="P43" s="12">
        <f t="shared" si="31"/>
        <v>-92.613750977881651</v>
      </c>
      <c r="Q43" s="12">
        <f t="shared" si="31"/>
        <v>-94.624562618571289</v>
      </c>
      <c r="R43" s="12">
        <f t="shared" si="31"/>
        <v>-94.624562618571289</v>
      </c>
      <c r="S43" s="12">
        <f t="shared" si="31"/>
        <v>-94.624562618571289</v>
      </c>
      <c r="T43" s="8">
        <f t="shared" ref="T43:Y43" si="32">T39+10*LOG10(T41)</f>
        <v>-94.624562618571289</v>
      </c>
      <c r="U43" s="8">
        <f t="shared" si="32"/>
        <v>-94.624562618571289</v>
      </c>
      <c r="V43" s="8">
        <f t="shared" si="32"/>
        <v>-94.624562618571289</v>
      </c>
      <c r="W43" s="8">
        <f t="shared" si="32"/>
        <v>-92.613750977881651</v>
      </c>
      <c r="X43" s="8">
        <f t="shared" si="32"/>
        <v>-92.613750977881651</v>
      </c>
      <c r="Y43" s="8">
        <f t="shared" si="32"/>
        <v>-92.613750977881651</v>
      </c>
    </row>
    <row r="44" spans="1:2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</row>
    <row r="45" spans="1:25" ht="15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</row>
    <row r="46" spans="1:25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</row>
    <row r="47" spans="1:2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</row>
    <row r="49" spans="1:2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</row>
    <row r="50" spans="1:25" ht="30">
      <c r="A50" s="7" t="s">
        <v>80</v>
      </c>
      <c r="B50" s="12">
        <f t="shared" ref="B50:G50" si="33">B43+B45+B47-B48</f>
        <v>-103.92456261857129</v>
      </c>
      <c r="C50" s="12">
        <f t="shared" si="33"/>
        <v>-100.92456261857129</v>
      </c>
      <c r="D50" s="12">
        <f t="shared" si="33"/>
        <v>-97.424562618571287</v>
      </c>
      <c r="E50" s="12">
        <f t="shared" si="33"/>
        <v>-104.17456261857129</v>
      </c>
      <c r="F50" s="12"/>
      <c r="G50" s="12">
        <f t="shared" si="33"/>
        <v>-98.01456261857129</v>
      </c>
      <c r="H50" s="71">
        <f t="shared" ref="H50:M50" si="34">H43+H45+H47-H48</f>
        <v>-105.31456261857129</v>
      </c>
      <c r="I50" s="71">
        <f t="shared" si="34"/>
        <v>-102.00456261857128</v>
      </c>
      <c r="J50" s="71">
        <f t="shared" si="34"/>
        <v>-98.044562618571291</v>
      </c>
      <c r="K50" s="12">
        <f t="shared" si="34"/>
        <v>-102.51456261857129</v>
      </c>
      <c r="L50" s="12">
        <f t="shared" si="34"/>
        <v>-100.0245626185713</v>
      </c>
      <c r="M50" s="12">
        <f t="shared" si="34"/>
        <v>-96.324562618571292</v>
      </c>
      <c r="N50" s="12">
        <f t="shared" ref="N50:S50" si="35">N43+N45+N47-N48</f>
        <v>-99.033750977881652</v>
      </c>
      <c r="O50" s="12">
        <f t="shared" si="35"/>
        <v>-96.433750977881658</v>
      </c>
      <c r="P50" s="12">
        <f t="shared" si="35"/>
        <v>-93.233750977881655</v>
      </c>
      <c r="Q50" s="12">
        <f t="shared" si="35"/>
        <v>-104.12456261857129</v>
      </c>
      <c r="R50" s="12">
        <f t="shared" si="35"/>
        <v>-101.62456261857129</v>
      </c>
      <c r="S50" s="12">
        <f t="shared" si="35"/>
        <v>-98.474562618571284</v>
      </c>
      <c r="T50" s="8">
        <f t="shared" ref="T50:Y50" si="36">T43+T45+T47-T48</f>
        <v>-100.62456261857129</v>
      </c>
      <c r="U50" s="8">
        <f t="shared" si="36"/>
        <v>-97.824562618571292</v>
      </c>
      <c r="V50" s="8">
        <f t="shared" si="36"/>
        <v>-95.224562618571284</v>
      </c>
      <c r="W50" s="8">
        <f t="shared" si="36"/>
        <v>-99.113750977881651</v>
      </c>
      <c r="X50" s="8">
        <f t="shared" si="36"/>
        <v>-96.313750977881654</v>
      </c>
      <c r="Y50" s="8">
        <f t="shared" si="36"/>
        <v>-92.313750977881654</v>
      </c>
    </row>
    <row r="51" spans="1:25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</row>
    <row r="52" spans="1:25" ht="30">
      <c r="A52" s="21" t="s">
        <v>83</v>
      </c>
      <c r="B52" s="22">
        <f>B25+B30+B33-B34-B50</f>
        <v>170.07121254719667</v>
      </c>
      <c r="C52" s="22">
        <f t="shared" ref="C52:G52" si="37">C25+C30+C33-C34-C50</f>
        <v>164.07121254719667</v>
      </c>
      <c r="D52" s="22">
        <f t="shared" si="37"/>
        <v>160.57121254719667</v>
      </c>
      <c r="E52" s="22">
        <f t="shared" si="37"/>
        <v>167.41121254719667</v>
      </c>
      <c r="F52" s="22"/>
      <c r="G52" s="22">
        <f t="shared" si="37"/>
        <v>158.25121254719664</v>
      </c>
      <c r="H52" s="76">
        <f>H25+H30+H33-H34-H50</f>
        <v>171.46121254719668</v>
      </c>
      <c r="I52" s="76">
        <f t="shared" ref="I52:J52" si="38">I25+I30+I33-I34-I50</f>
        <v>165.15121254719668</v>
      </c>
      <c r="J52" s="76">
        <f t="shared" si="38"/>
        <v>161.19121254719667</v>
      </c>
      <c r="K52" s="22">
        <f>K25+K30+K33-K34-K50</f>
        <v>168.66121254719667</v>
      </c>
      <c r="L52" s="22">
        <f t="shared" ref="L52:M52" si="39">L25+L30+L33-L34-L50</f>
        <v>163.17121254719666</v>
      </c>
      <c r="M52" s="22">
        <f t="shared" si="39"/>
        <v>159.47121254719667</v>
      </c>
      <c r="N52" s="22">
        <f>N25+N30+N33-N34-N50</f>
        <v>165.58190068970609</v>
      </c>
      <c r="O52" s="22">
        <f t="shared" ref="O52:P52" si="40">O25+O30+O33-O34-O50</f>
        <v>159.98190068970609</v>
      </c>
      <c r="P52" s="22">
        <f t="shared" si="40"/>
        <v>156.78190068970611</v>
      </c>
      <c r="Q52" s="22">
        <f>Q25+Q30+Q33-Q34-Q50</f>
        <v>166.27121254719668</v>
      </c>
      <c r="R52" s="22">
        <f t="shared" ref="R52:S52" si="41">R25+R30+R33-R34-R50</f>
        <v>160.77121254719668</v>
      </c>
      <c r="S52" s="22">
        <f t="shared" si="41"/>
        <v>157.62121254719665</v>
      </c>
      <c r="T52" s="22">
        <f>T25+T30+T33-T34-T50</f>
        <v>166.77121254719668</v>
      </c>
      <c r="U52" s="22">
        <f t="shared" ref="U52:V52" si="42">U25+U30+U33-U34-U50</f>
        <v>160.97121254719667</v>
      </c>
      <c r="V52" s="22">
        <f t="shared" si="42"/>
        <v>158.37121254719665</v>
      </c>
      <c r="W52" s="22">
        <f>W25+W30+W33-W34-W50</f>
        <v>168.31040090650703</v>
      </c>
      <c r="X52" s="22">
        <f t="shared" ref="X52:Y52" si="43">X25+X30+X33-X34-X50</f>
        <v>162.51040090650702</v>
      </c>
      <c r="Y52" s="22">
        <f t="shared" si="43"/>
        <v>158.51040090650702</v>
      </c>
    </row>
    <row r="53" spans="1:25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</row>
    <row r="54" spans="1:2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</row>
    <row r="56" spans="1:25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</row>
    <row r="57" spans="1:25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</row>
    <row r="58" spans="1:2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</row>
    <row r="59" spans="1:2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</row>
    <row r="60" spans="1:2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</row>
    <row r="61" spans="1:25" ht="30">
      <c r="A61" s="21" t="s">
        <v>108</v>
      </c>
      <c r="B61" s="22">
        <f>B52-B56+B58-B59+B60</f>
        <v>136.26121254719666</v>
      </c>
      <c r="C61" s="22">
        <f t="shared" ref="C61:G61" si="44">C52-C56+C58-C59+C60</f>
        <v>130.26121254719666</v>
      </c>
      <c r="D61" s="22">
        <f t="shared" si="44"/>
        <v>126.76121254719666</v>
      </c>
      <c r="E61" s="22">
        <f t="shared" si="44"/>
        <v>133.60121254719667</v>
      </c>
      <c r="F61" s="22"/>
      <c r="G61" s="22">
        <f t="shared" si="44"/>
        <v>124.44121254719664</v>
      </c>
      <c r="H61" s="76">
        <f>H52-H56+H58-H59+H60</f>
        <v>137.65121254719668</v>
      </c>
      <c r="I61" s="76">
        <f t="shared" ref="I61:J61" si="45">I52-I56+I58-I59+I60</f>
        <v>131.34121254719668</v>
      </c>
      <c r="J61" s="76">
        <f t="shared" si="45"/>
        <v>127.38121254719667</v>
      </c>
      <c r="K61" s="22">
        <f>K52-K56+K58-K59+K60</f>
        <v>134.85121254719667</v>
      </c>
      <c r="L61" s="22">
        <f t="shared" ref="L61:M61" si="46">L52-L56+L58-L59+L60</f>
        <v>129.36121254719666</v>
      </c>
      <c r="M61" s="22">
        <f t="shared" si="46"/>
        <v>125.66121254719667</v>
      </c>
      <c r="N61" s="22">
        <f>N52-N56+N58-N59+N60</f>
        <v>131.77190068970609</v>
      </c>
      <c r="O61" s="22">
        <f t="shared" ref="O61:P61" si="47">O52-O56+O58-O59+O60</f>
        <v>126.17190068970609</v>
      </c>
      <c r="P61" s="22">
        <f t="shared" si="47"/>
        <v>122.9719006897061</v>
      </c>
      <c r="Q61" s="22">
        <f>Q52-Q56+Q58-Q59+Q60</f>
        <v>132.46121254719668</v>
      </c>
      <c r="R61" s="22">
        <f t="shared" ref="R61:S61" si="48">R52-R56+R58-R59+R60</f>
        <v>126.96121254719668</v>
      </c>
      <c r="S61" s="22">
        <f t="shared" si="48"/>
        <v>123.81121254719665</v>
      </c>
      <c r="T61" s="22">
        <f>T52-T56+T58-T59+T60</f>
        <v>132.96121254719668</v>
      </c>
      <c r="U61" s="22">
        <f t="shared" ref="U61:V61" si="49">U52-U56+U58-U59+U60</f>
        <v>127.16121254719667</v>
      </c>
      <c r="V61" s="22">
        <f t="shared" si="49"/>
        <v>124.56121254719665</v>
      </c>
      <c r="W61" s="22">
        <f>W52-W56+W58-W59+W60</f>
        <v>134.48040090650701</v>
      </c>
      <c r="X61" s="22">
        <f t="shared" ref="X61:Y61" si="50">X52-X56+X58-X59+X60</f>
        <v>128.680400906507</v>
      </c>
      <c r="Y61" s="22">
        <f t="shared" si="50"/>
        <v>124.680400906507</v>
      </c>
    </row>
    <row r="62" spans="1:25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</row>
    <row r="63" spans="1:25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</row>
    <row r="64" spans="1:25" ht="15">
      <c r="A64" s="21" t="s">
        <v>97</v>
      </c>
      <c r="B64" s="22">
        <f t="shared" ref="B64:G64" si="51">B17+B22-B50+B21+B33</f>
        <v>161.30000000000004</v>
      </c>
      <c r="C64" s="22">
        <f t="shared" si="51"/>
        <v>158.30000000000004</v>
      </c>
      <c r="D64" s="22">
        <f t="shared" si="51"/>
        <v>154.80000000000004</v>
      </c>
      <c r="E64" s="22">
        <f t="shared" si="51"/>
        <v>161.59000000000003</v>
      </c>
      <c r="F64" s="22"/>
      <c r="G64" s="22">
        <f t="shared" si="51"/>
        <v>155.43000000000004</v>
      </c>
      <c r="H64" s="76">
        <f t="shared" ref="H64:M64" si="52">H17+H22-H50+H21+H33</f>
        <v>162.69000000000003</v>
      </c>
      <c r="I64" s="76">
        <f t="shared" si="52"/>
        <v>159.38000000000002</v>
      </c>
      <c r="J64" s="76">
        <f t="shared" si="52"/>
        <v>155.42000000000004</v>
      </c>
      <c r="K64" s="22">
        <f t="shared" si="52"/>
        <v>159.89000000000004</v>
      </c>
      <c r="L64" s="22">
        <f t="shared" si="52"/>
        <v>157.40000000000003</v>
      </c>
      <c r="M64" s="22">
        <f t="shared" si="52"/>
        <v>153.70000000000005</v>
      </c>
      <c r="N64" s="22">
        <f t="shared" ref="N64:S64" si="53">N17+N22-N50+N21+N33</f>
        <v>159.46068814250947</v>
      </c>
      <c r="O64" s="22">
        <f t="shared" si="53"/>
        <v>156.86068814250947</v>
      </c>
      <c r="P64" s="22">
        <f t="shared" si="53"/>
        <v>153.66068814250946</v>
      </c>
      <c r="Q64" s="22">
        <f t="shared" si="53"/>
        <v>157.50000000000003</v>
      </c>
      <c r="R64" s="22">
        <f t="shared" si="53"/>
        <v>155.00000000000003</v>
      </c>
      <c r="S64" s="22">
        <f t="shared" si="53"/>
        <v>151.85000000000002</v>
      </c>
      <c r="T64" s="22">
        <f t="shared" ref="T64:Y64" si="54">T17+T22-T50+T21+T33</f>
        <v>158.00000000000003</v>
      </c>
      <c r="U64" s="22">
        <f t="shared" si="54"/>
        <v>155.20000000000005</v>
      </c>
      <c r="V64" s="22">
        <f t="shared" si="54"/>
        <v>152.60000000000002</v>
      </c>
      <c r="W64" s="22">
        <f t="shared" si="54"/>
        <v>159.5391883593104</v>
      </c>
      <c r="X64" s="22">
        <f t="shared" si="54"/>
        <v>156.73918835931042</v>
      </c>
      <c r="Y64" s="22">
        <f t="shared" si="54"/>
        <v>152.73918835931042</v>
      </c>
    </row>
    <row r="65" spans="1:25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</row>
  </sheetData>
  <mergeCells count="8">
    <mergeCell ref="W1:Y1"/>
    <mergeCell ref="T1:V1"/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5"/>
  <sheetViews>
    <sheetView zoomScale="70" zoomScaleNormal="70" workbookViewId="0">
      <pane xSplit="1" ySplit="1" topLeftCell="N41" activePane="bottomRight" state="frozen"/>
      <selection pane="topRight"/>
      <selection pane="bottomLeft"/>
      <selection pane="bottomRight" activeCell="W1" sqref="W1:Y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5" style="1" bestFit="1" customWidth="1"/>
    <col min="18" max="19" width="15.75" style="1" bestFit="1" customWidth="1"/>
    <col min="20" max="20" width="13.625" style="1" customWidth="1"/>
    <col min="21" max="21" width="14.875" style="1" customWidth="1"/>
    <col min="22" max="22" width="17" style="1" customWidth="1"/>
    <col min="23" max="23" width="15.625" style="2" customWidth="1"/>
    <col min="24" max="25" width="15.625" style="1" customWidth="1"/>
    <col min="26" max="16384" width="9" style="1"/>
  </cols>
  <sheetData>
    <row r="1" spans="1:25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</row>
    <row r="2" spans="1:25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</row>
    <row r="3" spans="1:2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</row>
    <row r="4" spans="1:2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</row>
    <row r="5" spans="1:2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 ht="1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</row>
    <row r="7" spans="1:25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</row>
    <row r="8" spans="1:25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</row>
    <row r="9" spans="1:2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</row>
    <row r="10" spans="1:2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</row>
    <row r="13" spans="1:2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</row>
    <row r="14" spans="1:25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</row>
    <row r="15" spans="1:25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</row>
    <row r="16" spans="1:25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</row>
    <row r="17" spans="1:25" ht="30">
      <c r="A17" s="7" t="s">
        <v>35</v>
      </c>
      <c r="B17" s="12">
        <f t="shared" ref="B17:G17" si="4">B15+10*LOG10(B42/1000000)</f>
        <v>48.105450102066122</v>
      </c>
      <c r="C17" s="12">
        <f t="shared" si="4"/>
        <v>41.115750058705935</v>
      </c>
      <c r="D17" s="12">
        <f t="shared" si="4"/>
        <v>41.115750058705935</v>
      </c>
      <c r="E17" s="12">
        <f t="shared" si="4"/>
        <v>51.907562519182179</v>
      </c>
      <c r="F17" s="12"/>
      <c r="G17" s="12">
        <f t="shared" si="4"/>
        <v>44.997551772534749</v>
      </c>
      <c r="H17" s="71">
        <f t="shared" ref="H17:M17" si="5">H15+10*LOG10(H42/1000000)</f>
        <v>51.57332496431269</v>
      </c>
      <c r="I17" s="71">
        <f t="shared" si="5"/>
        <v>45.638726768652234</v>
      </c>
      <c r="J17" s="71">
        <f t="shared" si="5"/>
        <v>45.638726768652234</v>
      </c>
      <c r="K17" s="12">
        <f t="shared" si="5"/>
        <v>52.924651478080435</v>
      </c>
      <c r="L17" s="12">
        <f t="shared" si="5"/>
        <v>45.638726768652234</v>
      </c>
      <c r="M17" s="12">
        <f t="shared" si="5"/>
        <v>45.638726768652234</v>
      </c>
      <c r="N17" s="12">
        <f t="shared" ref="N17:S17" si="6">N15+10*LOG10(N42/1000000)</f>
        <v>48.816083660320572</v>
      </c>
      <c r="O17" s="12">
        <f t="shared" si="6"/>
        <v>42.365137424788934</v>
      </c>
      <c r="P17" s="12">
        <f t="shared" si="6"/>
        <v>42.365137424788934</v>
      </c>
      <c r="Q17" s="12">
        <f t="shared" si="6"/>
        <v>51.57332496431269</v>
      </c>
      <c r="R17" s="12">
        <f t="shared" si="6"/>
        <v>45.638726768652234</v>
      </c>
      <c r="S17" s="12">
        <f t="shared" si="6"/>
        <v>45.638726768652234</v>
      </c>
      <c r="T17" s="8">
        <f t="shared" ref="T17:Y17" si="7">T15+10*LOG10(T42/1000000)</f>
        <v>51.57332496431269</v>
      </c>
      <c r="U17" s="8">
        <f t="shared" si="7"/>
        <v>45.638726768652234</v>
      </c>
      <c r="V17" s="8">
        <f t="shared" si="7"/>
        <v>45.638726768652234</v>
      </c>
      <c r="W17" s="8">
        <f t="shared" si="7"/>
        <v>52.924651478080435</v>
      </c>
      <c r="X17" s="8">
        <f t="shared" si="7"/>
        <v>45.638726768652234</v>
      </c>
      <c r="Y17" s="8">
        <f t="shared" si="7"/>
        <v>45.638726768652234</v>
      </c>
    </row>
    <row r="18" spans="1:25" ht="45">
      <c r="A18" s="14" t="s">
        <v>37</v>
      </c>
      <c r="B18" s="12">
        <f t="shared" ref="B18:G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/>
      <c r="G18" s="12">
        <f t="shared" si="8"/>
        <v>9.8212125471966232</v>
      </c>
      <c r="H18" s="71">
        <f t="shared" ref="H18:M18" si="9">H19+10*LOG10(H12/H13)-H20</f>
        <v>12.771212547196624</v>
      </c>
      <c r="I18" s="71">
        <f t="shared" si="9"/>
        <v>12.771212547196624</v>
      </c>
      <c r="J18" s="71">
        <f t="shared" si="9"/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12.771212547196624</v>
      </c>
      <c r="N18" s="12">
        <f t="shared" ref="N18:S18" si="10">N19+10*LOG10(N12/N13)-N20</f>
        <v>10.121212547196624</v>
      </c>
      <c r="O18" s="12">
        <f t="shared" si="10"/>
        <v>10.121212547196624</v>
      </c>
      <c r="P18" s="12">
        <f t="shared" si="10"/>
        <v>10.121212547196624</v>
      </c>
      <c r="Q18" s="12">
        <f t="shared" si="10"/>
        <v>12.771212547196624</v>
      </c>
      <c r="R18" s="12">
        <f t="shared" si="10"/>
        <v>12.771212547196624</v>
      </c>
      <c r="S18" s="12">
        <f t="shared" si="10"/>
        <v>12.771212547196624</v>
      </c>
      <c r="T18" s="8">
        <f t="shared" ref="T18:Y18" si="11">T19+10*LOG10(T12/T13)-T20</f>
        <v>12.771212547196624</v>
      </c>
      <c r="U18" s="8">
        <f t="shared" si="11"/>
        <v>12.771212547196624</v>
      </c>
      <c r="V18" s="8">
        <f t="shared" si="11"/>
        <v>12.771212547196624</v>
      </c>
      <c r="W18" s="8">
        <f t="shared" si="11"/>
        <v>12.771212547196624</v>
      </c>
      <c r="X18" s="8">
        <f t="shared" si="11"/>
        <v>12.771212547196624</v>
      </c>
      <c r="Y18" s="8">
        <f t="shared" si="11"/>
        <v>12.771212547196624</v>
      </c>
    </row>
    <row r="19" spans="1:25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</row>
    <row r="20" spans="1:25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</row>
    <row r="21" spans="1:25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2">10*LOG10(O13/O14)</f>
        <v>15.051499783199061</v>
      </c>
      <c r="P21" s="16">
        <f t="shared" si="12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</row>
    <row r="22" spans="1:25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</row>
    <row r="25" spans="1:25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</row>
    <row r="26" spans="1:25" ht="15">
      <c r="A26" s="7" t="s">
        <v>51</v>
      </c>
      <c r="B26" s="12">
        <f t="shared" ref="B26:G26" si="13">B17+B18+B21-B23-B24</f>
        <v>69.876662649262755</v>
      </c>
      <c r="C26" s="12">
        <f t="shared" si="13"/>
        <v>62.886962605902568</v>
      </c>
      <c r="D26" s="12">
        <f t="shared" si="13"/>
        <v>62.886962605902568</v>
      </c>
      <c r="E26" s="12">
        <f t="shared" si="13"/>
        <v>70.768775066378794</v>
      </c>
      <c r="F26" s="12"/>
      <c r="G26" s="12">
        <f t="shared" si="13"/>
        <v>63.858764319731364</v>
      </c>
      <c r="H26" s="71">
        <f t="shared" ref="H26:M26" si="14">H17+H18+H21-H23-H24</f>
        <v>73.344537511509316</v>
      </c>
      <c r="I26" s="71">
        <f t="shared" si="14"/>
        <v>67.40993931584886</v>
      </c>
      <c r="J26" s="71">
        <f t="shared" si="14"/>
        <v>67.40993931584886</v>
      </c>
      <c r="K26" s="12">
        <f t="shared" si="14"/>
        <v>74.695864025277061</v>
      </c>
      <c r="L26" s="12">
        <f t="shared" si="14"/>
        <v>67.40993931584886</v>
      </c>
      <c r="M26" s="12">
        <f t="shared" si="14"/>
        <v>67.40993931584886</v>
      </c>
      <c r="N26" s="12">
        <f t="shared" ref="N26:S26" si="15">N17+N18+N21-N23-N24</f>
        <v>70.988795990716255</v>
      </c>
      <c r="O26" s="12">
        <f t="shared" si="15"/>
        <v>64.537849755184624</v>
      </c>
      <c r="P26" s="12">
        <f t="shared" si="15"/>
        <v>64.537849755184624</v>
      </c>
      <c r="Q26" s="12">
        <f t="shared" si="15"/>
        <v>73.344537511509316</v>
      </c>
      <c r="R26" s="12">
        <f t="shared" si="15"/>
        <v>67.40993931584886</v>
      </c>
      <c r="S26" s="12">
        <f t="shared" si="15"/>
        <v>67.40993931584886</v>
      </c>
      <c r="T26" s="8">
        <f t="shared" ref="T26:Y26" si="16">T17+T18+T21-T23-T24</f>
        <v>73.344537511509316</v>
      </c>
      <c r="U26" s="8">
        <f t="shared" si="16"/>
        <v>67.40993931584886</v>
      </c>
      <c r="V26" s="8">
        <f t="shared" si="16"/>
        <v>67.40993931584886</v>
      </c>
      <c r="W26" s="8">
        <f t="shared" si="16"/>
        <v>77.745864025277058</v>
      </c>
      <c r="X26" s="8">
        <f t="shared" si="16"/>
        <v>70.459939315848857</v>
      </c>
      <c r="Y26" s="8">
        <f t="shared" si="16"/>
        <v>70.459939315848857</v>
      </c>
    </row>
    <row r="27" spans="1:2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</row>
    <row r="29" spans="1:25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</row>
    <row r="30" spans="1:25" ht="45">
      <c r="A30" s="7" t="s">
        <v>56</v>
      </c>
      <c r="B30" s="12">
        <f t="shared" ref="B30:G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/>
      <c r="G30" s="12">
        <f t="shared" si="17"/>
        <v>-3</v>
      </c>
      <c r="H30" s="71">
        <f t="shared" ref="H30:M30" si="18">H31+10*LOG10(H28/H29)-H32</f>
        <v>0</v>
      </c>
      <c r="I30" s="71">
        <f t="shared" si="18"/>
        <v>-3</v>
      </c>
      <c r="J30" s="71">
        <f t="shared" si="18"/>
        <v>-3</v>
      </c>
      <c r="K30" s="12">
        <f t="shared" si="18"/>
        <v>0</v>
      </c>
      <c r="L30" s="12">
        <f t="shared" si="18"/>
        <v>-3</v>
      </c>
      <c r="M30" s="12">
        <f t="shared" si="18"/>
        <v>-3</v>
      </c>
      <c r="N30" s="12">
        <f t="shared" ref="N30:S30" si="19">N31+10*LOG10(N28/N29)-N32</f>
        <v>0</v>
      </c>
      <c r="O30" s="12">
        <f t="shared" si="19"/>
        <v>-3</v>
      </c>
      <c r="P30" s="12">
        <f t="shared" si="19"/>
        <v>-3</v>
      </c>
      <c r="Q30" s="12">
        <f t="shared" si="19"/>
        <v>0</v>
      </c>
      <c r="R30" s="12">
        <f t="shared" si="19"/>
        <v>-3</v>
      </c>
      <c r="S30" s="12">
        <f t="shared" si="19"/>
        <v>-3</v>
      </c>
      <c r="T30" s="8">
        <f t="shared" ref="T30:Y30" si="20">T31+10*LOG10(T28/T29)-T32</f>
        <v>0</v>
      </c>
      <c r="U30" s="8">
        <f t="shared" si="20"/>
        <v>-3</v>
      </c>
      <c r="V30" s="8">
        <f t="shared" si="20"/>
        <v>-3</v>
      </c>
      <c r="W30" s="8">
        <f t="shared" si="20"/>
        <v>0</v>
      </c>
      <c r="X30" s="8">
        <f t="shared" si="20"/>
        <v>-3</v>
      </c>
      <c r="Y30" s="8">
        <f t="shared" si="20"/>
        <v>-3</v>
      </c>
    </row>
    <row r="31" spans="1:25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</row>
    <row r="32" spans="1:25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</row>
    <row r="33" spans="1:25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</row>
    <row r="34" spans="1:25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</row>
    <row r="35" spans="1:25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</row>
    <row r="36" spans="1:2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</row>
    <row r="37" spans="1:25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</row>
    <row r="38" spans="1:25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</row>
    <row r="39" spans="1:25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</row>
    <row r="40" spans="1:25" ht="30">
      <c r="A40" s="7" t="s">
        <v>107</v>
      </c>
      <c r="B40" s="12">
        <f t="shared" ref="B40:G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/>
      <c r="G40" s="12">
        <f t="shared" si="21"/>
        <v>-167.00000000000003</v>
      </c>
      <c r="H40" s="71">
        <f t="shared" ref="H40:M40" si="22">10*LOG10(10^((H35+H36)/10)+10^(H38/10))</f>
        <v>-167.00000000000003</v>
      </c>
      <c r="I40" s="71">
        <f t="shared" si="22"/>
        <v>-167.00000000000003</v>
      </c>
      <c r="J40" s="71">
        <f t="shared" si="22"/>
        <v>-167.00000000000003</v>
      </c>
      <c r="K40" s="12">
        <f t="shared" si="22"/>
        <v>-167.00000000000003</v>
      </c>
      <c r="L40" s="12">
        <f t="shared" si="22"/>
        <v>-167.00000000000003</v>
      </c>
      <c r="M40" s="12">
        <f t="shared" si="22"/>
        <v>-167.00000000000003</v>
      </c>
      <c r="N40" s="12">
        <f t="shared" ref="N40:S40" si="23">10*LOG10(10^((N35+N36)/10)+10^(N38/10))</f>
        <v>-164.98918835931039</v>
      </c>
      <c r="O40" s="12">
        <f t="shared" si="23"/>
        <v>-164.98918835931039</v>
      </c>
      <c r="P40" s="12">
        <f t="shared" si="23"/>
        <v>-164.98918835931039</v>
      </c>
      <c r="Q40" s="12">
        <f t="shared" si="23"/>
        <v>-167.00000000000003</v>
      </c>
      <c r="R40" s="12">
        <f t="shared" si="23"/>
        <v>-167.00000000000003</v>
      </c>
      <c r="S40" s="12">
        <f t="shared" si="23"/>
        <v>-167.00000000000003</v>
      </c>
      <c r="T40" s="8">
        <f t="shared" ref="T40:Y40" si="24">10*LOG10(10^((T35+T36)/10)+10^(T38/10))</f>
        <v>-167.00000000000003</v>
      </c>
      <c r="U40" s="8">
        <f t="shared" si="24"/>
        <v>-167.00000000000003</v>
      </c>
      <c r="V40" s="8">
        <f t="shared" si="24"/>
        <v>-167.00000000000003</v>
      </c>
      <c r="W40" s="8">
        <f t="shared" si="24"/>
        <v>-164.98918835931039</v>
      </c>
      <c r="X40" s="8">
        <f t="shared" si="24"/>
        <v>-164.98918835931039</v>
      </c>
      <c r="Y40" s="8">
        <f t="shared" si="24"/>
        <v>-164.98918835931039</v>
      </c>
    </row>
    <row r="41" spans="1:25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</row>
    <row r="42" spans="1:25" ht="15">
      <c r="A42" s="28" t="s">
        <v>70</v>
      </c>
      <c r="B42" s="18">
        <f>90*360*1000</f>
        <v>32400000</v>
      </c>
      <c r="C42" s="18">
        <f t="shared" ref="C42:D42" si="25">18*360*1000</f>
        <v>6480000</v>
      </c>
      <c r="D42" s="18">
        <f t="shared" si="25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</row>
    <row r="43" spans="1:25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</row>
    <row r="44" spans="1:25" ht="15">
      <c r="A44" s="7" t="s">
        <v>72</v>
      </c>
      <c r="B44" s="12">
        <f t="shared" ref="B44:G44" si="26">B40+10*LOG10(B42)</f>
        <v>-91.894549897933913</v>
      </c>
      <c r="C44" s="12">
        <f t="shared" si="26"/>
        <v>-98.884249941294101</v>
      </c>
      <c r="D44" s="12">
        <f t="shared" si="26"/>
        <v>-98.884249941294101</v>
      </c>
      <c r="E44" s="12">
        <f t="shared" si="26"/>
        <v>-88.09243748081785</v>
      </c>
      <c r="F44" s="12"/>
      <c r="G44" s="12">
        <f t="shared" si="26"/>
        <v>-95.00244822746528</v>
      </c>
      <c r="H44" s="71">
        <f t="shared" ref="H44:M44" si="27">H40+10*LOG10(H42)</f>
        <v>-88.426675035687353</v>
      </c>
      <c r="I44" s="71">
        <f t="shared" si="27"/>
        <v>-94.361273231347795</v>
      </c>
      <c r="J44" s="71">
        <f t="shared" si="27"/>
        <v>-94.361273231347795</v>
      </c>
      <c r="K44" s="12">
        <f t="shared" si="27"/>
        <v>-87.075348521919594</v>
      </c>
      <c r="L44" s="12">
        <f t="shared" si="27"/>
        <v>-94.361273231347795</v>
      </c>
      <c r="M44" s="12">
        <f t="shared" si="27"/>
        <v>-94.361273231347795</v>
      </c>
      <c r="N44" s="12">
        <f t="shared" ref="N44:S44" si="28">N40+10*LOG10(N42)</f>
        <v>-89.173104698989818</v>
      </c>
      <c r="O44" s="12">
        <f t="shared" si="28"/>
        <v>-95.624050934521463</v>
      </c>
      <c r="P44" s="12">
        <f t="shared" si="28"/>
        <v>-95.624050934521463</v>
      </c>
      <c r="Q44" s="12">
        <f t="shared" si="28"/>
        <v>-88.426675035687353</v>
      </c>
      <c r="R44" s="12">
        <f t="shared" si="28"/>
        <v>-94.361273231347795</v>
      </c>
      <c r="S44" s="12">
        <f t="shared" si="28"/>
        <v>-94.361273231347795</v>
      </c>
      <c r="T44" s="8">
        <f t="shared" ref="T44:Y44" si="29">T40+10*LOG10(T42)</f>
        <v>-88.426675035687353</v>
      </c>
      <c r="U44" s="8">
        <f t="shared" si="29"/>
        <v>-94.361273231347795</v>
      </c>
      <c r="V44" s="8">
        <f t="shared" si="29"/>
        <v>-94.361273231347795</v>
      </c>
      <c r="W44" s="8">
        <f t="shared" si="29"/>
        <v>-85.064536881229955</v>
      </c>
      <c r="X44" s="8">
        <f t="shared" si="29"/>
        <v>-92.350461590658156</v>
      </c>
      <c r="Y44" s="8">
        <f t="shared" si="29"/>
        <v>-92.350461590658156</v>
      </c>
    </row>
    <row r="45" spans="1:25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</row>
    <row r="46" spans="1:25" ht="1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</row>
    <row r="47" spans="1:25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  <row r="50" spans="1:25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</row>
    <row r="51" spans="1:25" ht="30">
      <c r="A51" s="7" t="s">
        <v>82</v>
      </c>
      <c r="B51" s="12">
        <f t="shared" ref="B51:G51" si="30">B44+B46+B47-B49</f>
        <v>-94.694549897933911</v>
      </c>
      <c r="C51" s="12">
        <f t="shared" si="30"/>
        <v>-97.784249941294107</v>
      </c>
      <c r="D51" s="12">
        <f t="shared" si="30"/>
        <v>-92.984249941294095</v>
      </c>
      <c r="E51" s="12">
        <f t="shared" si="30"/>
        <v>-97.872437480817851</v>
      </c>
      <c r="F51" s="12"/>
      <c r="G51" s="12">
        <f t="shared" si="30"/>
        <v>-100.90244822746529</v>
      </c>
      <c r="H51" s="71">
        <f t="shared" ref="H51:M51" si="31">H44+H46+H47-H49</f>
        <v>-97.576675035687359</v>
      </c>
      <c r="I51" s="71">
        <f t="shared" si="31"/>
        <v>-101.2312732313478</v>
      </c>
      <c r="J51" s="71">
        <f t="shared" si="31"/>
        <v>-98.6212732313478</v>
      </c>
      <c r="K51" s="12">
        <f t="shared" si="31"/>
        <v>-93.875348521919591</v>
      </c>
      <c r="L51" s="12">
        <f t="shared" si="31"/>
        <v>-98.24127323134779</v>
      </c>
      <c r="M51" s="12">
        <f t="shared" si="31"/>
        <v>-94.391273231347796</v>
      </c>
      <c r="N51" s="12">
        <f t="shared" ref="N51:S51" si="32">N44+N46+N47-N49</f>
        <v>-91.963104698989824</v>
      </c>
      <c r="O51" s="12">
        <f t="shared" si="32"/>
        <v>-94.394050934521459</v>
      </c>
      <c r="P51" s="12">
        <f t="shared" si="32"/>
        <v>-90.084050934521457</v>
      </c>
      <c r="Q51" s="12">
        <f t="shared" si="32"/>
        <v>-96.026675035687347</v>
      </c>
      <c r="R51" s="12">
        <f t="shared" si="32"/>
        <v>-97.461273231347789</v>
      </c>
      <c r="S51" s="12">
        <f t="shared" si="32"/>
        <v>-93.861273231347795</v>
      </c>
      <c r="T51" s="8">
        <f t="shared" ref="T51:Y51" si="33">T44+T46+T47-T49</f>
        <v>-91.926675035687353</v>
      </c>
      <c r="U51" s="8">
        <f t="shared" si="33"/>
        <v>-95.861273231347795</v>
      </c>
      <c r="V51" s="8">
        <f t="shared" si="33"/>
        <v>-93.861273231347795</v>
      </c>
      <c r="W51" s="8">
        <f t="shared" si="33"/>
        <v>-90.064536881229955</v>
      </c>
      <c r="X51" s="8">
        <f t="shared" si="33"/>
        <v>-93.850461590658156</v>
      </c>
      <c r="Y51" s="8">
        <f t="shared" si="33"/>
        <v>-90.350461590658156</v>
      </c>
    </row>
    <row r="52" spans="1:25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</row>
    <row r="53" spans="1:25" ht="30">
      <c r="A53" s="29" t="s">
        <v>85</v>
      </c>
      <c r="B53" s="22">
        <f>B26+B30+B33-B34-B51</f>
        <v>163.57121254719667</v>
      </c>
      <c r="C53" s="22">
        <f t="shared" ref="C53:G53" si="34">C26+C30+C33-C34-C51</f>
        <v>156.67121254719666</v>
      </c>
      <c r="D53" s="22">
        <f t="shared" si="34"/>
        <v>151.87121254719665</v>
      </c>
      <c r="E53" s="22">
        <f t="shared" si="34"/>
        <v>167.64121254719663</v>
      </c>
      <c r="F53" s="22"/>
      <c r="G53" s="22">
        <f t="shared" si="34"/>
        <v>160.76121254719664</v>
      </c>
      <c r="H53" s="76">
        <f>H26+H30+H33-H34-H51</f>
        <v>169.92121254719666</v>
      </c>
      <c r="I53" s="76">
        <f t="shared" ref="I53:J53" si="35">I26+I30+I33-I34-I51</f>
        <v>164.64121254719666</v>
      </c>
      <c r="J53" s="76">
        <f t="shared" si="35"/>
        <v>162.03121254719667</v>
      </c>
      <c r="K53" s="22">
        <f>K26+K30+K33-K34-K51</f>
        <v>167.57121254719664</v>
      </c>
      <c r="L53" s="22">
        <f t="shared" ref="L53:M53" si="36">L26+L30+L33-L34-L51</f>
        <v>161.65121254719665</v>
      </c>
      <c r="M53" s="22">
        <f t="shared" si="36"/>
        <v>157.80121254719666</v>
      </c>
      <c r="N53" s="22">
        <f>N26+N30+N33-N34-N51</f>
        <v>161.95190068970606</v>
      </c>
      <c r="O53" s="22">
        <f t="shared" ref="O53:P53" si="37">O26+O30+O33-O34-O51</f>
        <v>154.93190068970608</v>
      </c>
      <c r="P53" s="22">
        <f t="shared" si="37"/>
        <v>150.62190068970608</v>
      </c>
      <c r="Q53" s="22">
        <f>Q26+Q30+Q33-Q34-Q51</f>
        <v>168.37121254719665</v>
      </c>
      <c r="R53" s="22">
        <f t="shared" ref="R53:S53" si="38">R26+R30+R33-R34-R51</f>
        <v>160.87121254719665</v>
      </c>
      <c r="S53" s="22">
        <f t="shared" si="38"/>
        <v>157.27121254719665</v>
      </c>
      <c r="T53" s="22">
        <f>T26+T30+T33-T34-T51</f>
        <v>164.27121254719668</v>
      </c>
      <c r="U53" s="22">
        <f t="shared" ref="U53:V53" si="39">U26+U30+U33-U34-U51</f>
        <v>159.27121254719665</v>
      </c>
      <c r="V53" s="22">
        <f t="shared" si="39"/>
        <v>157.27121254719665</v>
      </c>
      <c r="W53" s="22">
        <f>W26+W30+W33-W34-W51</f>
        <v>166.81040090650703</v>
      </c>
      <c r="X53" s="22">
        <f t="shared" ref="X53:Y53" si="40">X26+X30+X33-X34-X51</f>
        <v>160.31040090650703</v>
      </c>
      <c r="Y53" s="22">
        <f t="shared" si="40"/>
        <v>156.81040090650703</v>
      </c>
    </row>
    <row r="54" spans="1:2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</row>
    <row r="56" spans="1:25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</row>
    <row r="57" spans="1:25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</row>
    <row r="58" spans="1:2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</row>
    <row r="59" spans="1:2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</row>
    <row r="60" spans="1:2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</row>
    <row r="61" spans="1:25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</row>
    <row r="62" spans="1:25" ht="30">
      <c r="A62" s="29" t="s">
        <v>109</v>
      </c>
      <c r="B62" s="22">
        <f>B53-B57+B58-B59+B60</f>
        <v>132.84121254719668</v>
      </c>
      <c r="C62" s="22">
        <f t="shared" ref="C62:G62" si="41">C53-C57+C58-C59+C60</f>
        <v>125.94121254719667</v>
      </c>
      <c r="D62" s="22">
        <f t="shared" si="41"/>
        <v>121.14121254719666</v>
      </c>
      <c r="E62" s="22">
        <f t="shared" si="41"/>
        <v>136.91121254719664</v>
      </c>
      <c r="F62" s="22"/>
      <c r="G62" s="22">
        <f t="shared" si="41"/>
        <v>130.03121254719665</v>
      </c>
      <c r="H62" s="76">
        <f>H53-H57+H58-H59+H60</f>
        <v>139.19121254719667</v>
      </c>
      <c r="I62" s="76">
        <f t="shared" ref="I62:J62" si="42">I53-I57+I58-I59+I60</f>
        <v>133.91121254719667</v>
      </c>
      <c r="J62" s="76">
        <f t="shared" si="42"/>
        <v>131.30121254719668</v>
      </c>
      <c r="K62" s="22">
        <f>K53-K57+K58-K59+K60</f>
        <v>136.84121254719665</v>
      </c>
      <c r="L62" s="22">
        <f t="shared" ref="L62:M62" si="43">L53-L57+L58-L59+L60</f>
        <v>130.92121254719666</v>
      </c>
      <c r="M62" s="22">
        <f t="shared" si="43"/>
        <v>127.07121254719667</v>
      </c>
      <c r="N62" s="22">
        <f>N53-N57+N58-N59+N60</f>
        <v>131.22190068970608</v>
      </c>
      <c r="O62" s="22">
        <f t="shared" ref="O62:P62" si="44">O53-O57+O58-O59+O60</f>
        <v>124.20190068970609</v>
      </c>
      <c r="P62" s="22">
        <f t="shared" si="44"/>
        <v>119.89190068970609</v>
      </c>
      <c r="Q62" s="22">
        <f>Q53-Q57+Q58-Q59+Q60</f>
        <v>137.64121254719666</v>
      </c>
      <c r="R62" s="22">
        <f t="shared" ref="R62:S62" si="45">R53-R57+R58-R59+R60</f>
        <v>130.14121254719666</v>
      </c>
      <c r="S62" s="22">
        <f t="shared" si="45"/>
        <v>126.54121254719666</v>
      </c>
      <c r="T62" s="22">
        <f>T53-T57+T58-T59+T60</f>
        <v>133.54121254719669</v>
      </c>
      <c r="U62" s="22">
        <f t="shared" ref="U62:V62" si="46">U53-U57+U58-U59+U60</f>
        <v>128.54121254719666</v>
      </c>
      <c r="V62" s="22">
        <f t="shared" si="46"/>
        <v>126.54121254719666</v>
      </c>
      <c r="W62" s="22">
        <f>W53-W57+W58-W59+W60</f>
        <v>136.08040090650704</v>
      </c>
      <c r="X62" s="22">
        <f t="shared" ref="X62:Y62" si="47">X53-X57+X58-X59+X60</f>
        <v>129.58040090650704</v>
      </c>
      <c r="Y62" s="22">
        <f t="shared" si="47"/>
        <v>126.08040090650704</v>
      </c>
    </row>
    <row r="63" spans="1:25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</row>
    <row r="64" spans="1:25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</row>
    <row r="65" spans="1:25" ht="15">
      <c r="A65" s="29" t="s">
        <v>98</v>
      </c>
      <c r="B65" s="22">
        <f t="shared" ref="B65:G65" si="48">B17-B23-B51+B21+B33</f>
        <v>154.80000000000004</v>
      </c>
      <c r="C65" s="22">
        <f t="shared" si="48"/>
        <v>150.90000000000003</v>
      </c>
      <c r="D65" s="22">
        <f t="shared" si="48"/>
        <v>146.10000000000002</v>
      </c>
      <c r="E65" s="22">
        <f t="shared" si="48"/>
        <v>161.82000000000002</v>
      </c>
      <c r="F65" s="22"/>
      <c r="G65" s="22">
        <f t="shared" si="48"/>
        <v>157.94000000000003</v>
      </c>
      <c r="H65" s="76">
        <f t="shared" ref="H65:M65" si="49">H17-H23-H51+H21+H33</f>
        <v>161.15000000000003</v>
      </c>
      <c r="I65" s="76">
        <f t="shared" si="49"/>
        <v>158.87000000000003</v>
      </c>
      <c r="J65" s="76">
        <f t="shared" si="49"/>
        <v>156.26000000000005</v>
      </c>
      <c r="K65" s="22">
        <f t="shared" si="49"/>
        <v>158.80000000000001</v>
      </c>
      <c r="L65" s="22">
        <f t="shared" si="49"/>
        <v>155.88000000000002</v>
      </c>
      <c r="M65" s="22">
        <f t="shared" si="49"/>
        <v>152.03000000000003</v>
      </c>
      <c r="N65" s="22">
        <f t="shared" ref="N65:S65" si="50">N17-N23-N51+N21+N33</f>
        <v>155.83068814250947</v>
      </c>
      <c r="O65" s="22">
        <f t="shared" si="50"/>
        <v>151.81068814250946</v>
      </c>
      <c r="P65" s="22">
        <f t="shared" si="50"/>
        <v>147.50068814250946</v>
      </c>
      <c r="Q65" s="22">
        <f t="shared" si="50"/>
        <v>159.60000000000002</v>
      </c>
      <c r="R65" s="22">
        <f t="shared" si="50"/>
        <v>155.10000000000002</v>
      </c>
      <c r="S65" s="22">
        <f t="shared" si="50"/>
        <v>151.50000000000003</v>
      </c>
      <c r="T65" s="22">
        <f t="shared" ref="T65:Y65" si="51">T17-T23-T51+T21+T33</f>
        <v>155.50000000000006</v>
      </c>
      <c r="U65" s="22">
        <f t="shared" si="51"/>
        <v>153.50000000000003</v>
      </c>
      <c r="V65" s="22">
        <f t="shared" si="51"/>
        <v>151.50000000000003</v>
      </c>
      <c r="W65" s="22">
        <f t="shared" si="51"/>
        <v>158.0391883593104</v>
      </c>
      <c r="X65" s="22">
        <f t="shared" si="51"/>
        <v>154.5391883593104</v>
      </c>
      <c r="Y65" s="22">
        <f t="shared" si="51"/>
        <v>151.0391883593104</v>
      </c>
    </row>
  </sheetData>
  <mergeCells count="8">
    <mergeCell ref="W1:Y1"/>
    <mergeCell ref="T1:V1"/>
    <mergeCell ref="Q1:S1"/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5"/>
  <sheetViews>
    <sheetView zoomScale="55" zoomScaleNormal="55" workbookViewId="0">
      <pane xSplit="1" ySplit="1" topLeftCell="B2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  <c r="N1" s="90" t="s">
        <v>129</v>
      </c>
      <c r="O1" s="90"/>
    </row>
    <row r="2" spans="1:1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</row>
    <row r="3" spans="1:1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</row>
    <row r="4" spans="1:1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</row>
    <row r="14" spans="1:15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  <c r="N18" s="8">
        <f>N19+10*LOG10(N12/N14)-N20</f>
        <v>0</v>
      </c>
      <c r="O18" s="8">
        <f>O19+10*LOG10(O12/O14)-O20</f>
        <v>-3</v>
      </c>
    </row>
    <row r="19" spans="1:1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  <c r="N25" s="8">
        <f>N17+N18+N21+N22-N24</f>
        <v>22</v>
      </c>
      <c r="O25" s="8">
        <f>O17+O18+O21+O22-O24</f>
        <v>19</v>
      </c>
    </row>
    <row r="26" spans="1:1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</row>
    <row r="28" spans="1:15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</row>
    <row r="29" spans="1:15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</row>
    <row r="30" spans="1:15" ht="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  <c r="N30" s="8">
        <f>N31+10*LOG10(N28/N13)-N32</f>
        <v>12.771212547196624</v>
      </c>
      <c r="O30" s="8">
        <f>O31+10*LOG10(O28/O13)-O32</f>
        <v>12.771212547196624</v>
      </c>
    </row>
    <row r="31" spans="1:1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</row>
    <row r="33" spans="1:15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</row>
    <row r="34" spans="1:1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</row>
    <row r="38" spans="1:15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</row>
    <row r="39" spans="1:15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</row>
    <row r="40" spans="1:15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 ht="1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  <c r="N41" s="8">
        <f>1*12*30*1000</f>
        <v>360000</v>
      </c>
      <c r="O41" s="8">
        <f>1*12*30*1000</f>
        <v>360000</v>
      </c>
    </row>
    <row r="42" spans="1:15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</row>
    <row r="43" spans="1:15" ht="1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  <c r="N43" s="8">
        <f>N39+10*LOG10(N41)</f>
        <v>-105.39536389278032</v>
      </c>
      <c r="O43" s="8">
        <f>O39+10*LOG10(O41)</f>
        <v>-105.39536389278032</v>
      </c>
    </row>
    <row r="44" spans="1:1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5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</row>
    <row r="46" spans="1:15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</row>
    <row r="47" spans="1:1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30">
      <c r="A50" s="7" t="s">
        <v>80</v>
      </c>
      <c r="B50" s="12">
        <f t="shared" ref="B50:G50" si="12">B43+B45+B47-B48</f>
        <v>-118.83697499232716</v>
      </c>
      <c r="C50" s="12">
        <f t="shared" si="12"/>
        <v>-118.43697499232715</v>
      </c>
      <c r="D50" s="12">
        <f t="shared" si="12"/>
        <v>-121.77697499232715</v>
      </c>
      <c r="E50" s="12">
        <f t="shared" si="12"/>
        <v>-121.77697499232715</v>
      </c>
      <c r="F50" s="71">
        <f t="shared" si="12"/>
        <v>-115.26697499232715</v>
      </c>
      <c r="G50" s="71">
        <f t="shared" si="12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13">J43+J45+J47-J48</f>
        <v>-109.39536389278032</v>
      </c>
      <c r="K50" s="12">
        <f t="shared" si="13"/>
        <v>-109.39536389278032</v>
      </c>
      <c r="L50" s="12">
        <f>L43+L45+L47-L48</f>
        <v>-121.81697499232715</v>
      </c>
      <c r="M50" s="12">
        <f>M43+M45+M47-M48</f>
        <v>-121.81697499232715</v>
      </c>
      <c r="N50" s="8">
        <f>N43+N45+N47-N48</f>
        <v>-104.89536389278032</v>
      </c>
      <c r="O50" s="8">
        <f>O43+O45+O47-O48</f>
        <v>-104.89536389278032</v>
      </c>
    </row>
    <row r="51" spans="1:1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</row>
    <row r="52" spans="1:15" ht="30">
      <c r="A52" s="21" t="s">
        <v>83</v>
      </c>
      <c r="B52" s="22">
        <f t="shared" ref="B52:G52" si="14">B25+B30+B33-B34-B50</f>
        <v>158.60818753952378</v>
      </c>
      <c r="C52" s="22">
        <f t="shared" si="14"/>
        <v>155.20818753952378</v>
      </c>
      <c r="D52" s="22">
        <f t="shared" si="14"/>
        <v>162.63818753952378</v>
      </c>
      <c r="E52" s="22">
        <f t="shared" si="14"/>
        <v>159.63818753952378</v>
      </c>
      <c r="F52" s="76">
        <f t="shared" si="14"/>
        <v>155.03818753952379</v>
      </c>
      <c r="G52" s="76">
        <f t="shared" si="14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15">J25+J30+J33-J34-J50</f>
        <v>156.21807622317601</v>
      </c>
      <c r="K52" s="22">
        <f t="shared" si="15"/>
        <v>153.21807622317601</v>
      </c>
      <c r="L52" s="22">
        <f>L25+L30+L33-L34-L50</f>
        <v>161.58818753952377</v>
      </c>
      <c r="M52" s="22">
        <f>M25+M30+M33-M34-M50</f>
        <v>158.58818753952377</v>
      </c>
      <c r="N52" s="22">
        <f>N25+N30+N33-N34-N50</f>
        <v>151.71657643997696</v>
      </c>
      <c r="O52" s="22">
        <f>O25+O30+O33-O34-O50</f>
        <v>148.71657643997696</v>
      </c>
    </row>
    <row r="53" spans="1:15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</row>
    <row r="54" spans="1:1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</row>
    <row r="56" spans="1:15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</row>
    <row r="57" spans="1:15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</row>
    <row r="58" spans="1:1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</row>
    <row r="59" spans="1:1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</row>
    <row r="60" spans="1:1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</row>
    <row r="61" spans="1:15" ht="30">
      <c r="A61" s="21" t="s">
        <v>108</v>
      </c>
      <c r="B61" s="22">
        <f t="shared" ref="B61:G61" si="16">B52-B56+B58-B59+B60</f>
        <v>124.79818753952378</v>
      </c>
      <c r="C61" s="22">
        <f t="shared" si="16"/>
        <v>121.39818753952378</v>
      </c>
      <c r="D61" s="22">
        <f t="shared" si="16"/>
        <v>128.82818753952378</v>
      </c>
      <c r="E61" s="22">
        <f t="shared" si="16"/>
        <v>125.82818753952378</v>
      </c>
      <c r="F61" s="76">
        <f t="shared" si="16"/>
        <v>121.22818753952379</v>
      </c>
      <c r="G61" s="76">
        <f t="shared" si="16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17">J52-J56+J58-J59+J60</f>
        <v>122.40807622317601</v>
      </c>
      <c r="K61" s="22">
        <f t="shared" si="17"/>
        <v>119.40807622317601</v>
      </c>
      <c r="L61" s="22">
        <f>L52-L56+L58-L59+L60</f>
        <v>127.77818753952377</v>
      </c>
      <c r="M61" s="22">
        <f>M52-M56+M58-M59+M60</f>
        <v>124.77818753952377</v>
      </c>
      <c r="N61" s="22">
        <f>N52-N56+N58-N59+N60</f>
        <v>117.88657643997695</v>
      </c>
      <c r="O61" s="22">
        <f>O52-O56+O58-O59+O60</f>
        <v>114.88657643997695</v>
      </c>
    </row>
    <row r="62" spans="1:15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</row>
    <row r="63" spans="1:15">
      <c r="C63" s="2"/>
      <c r="E63" s="2"/>
      <c r="G63" s="79"/>
      <c r="I63" s="79"/>
      <c r="J63" s="2"/>
      <c r="K63" s="2"/>
      <c r="L63" s="2"/>
      <c r="M63" s="2"/>
      <c r="O63" s="2"/>
    </row>
    <row r="64" spans="1:15" ht="15">
      <c r="A64" s="21" t="s">
        <v>97</v>
      </c>
      <c r="B64" s="22">
        <f t="shared" ref="B64:G64" si="18">B17+B22-B50+B21+B33</f>
        <v>149.83697499232716</v>
      </c>
      <c r="C64" s="22">
        <f t="shared" si="18"/>
        <v>149.43697499232715</v>
      </c>
      <c r="D64" s="22">
        <f t="shared" si="18"/>
        <v>156.81697499232715</v>
      </c>
      <c r="E64" s="22">
        <f t="shared" si="18"/>
        <v>156.81697499232715</v>
      </c>
      <c r="F64" s="76">
        <f t="shared" si="18"/>
        <v>146.26697499232716</v>
      </c>
      <c r="G64" s="76">
        <f t="shared" si="18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19">J17+J22-J50+J21+J33</f>
        <v>147.44686367597939</v>
      </c>
      <c r="K64" s="22">
        <f t="shared" si="19"/>
        <v>147.44686367597939</v>
      </c>
      <c r="L64" s="22">
        <f>L17+L22-L50+L21+L33</f>
        <v>152.81697499232715</v>
      </c>
      <c r="M64" s="22">
        <f>M17+M22-M50+M21+M33</f>
        <v>152.81697499232715</v>
      </c>
      <c r="N64" s="22">
        <f>N17+N22-N50+N21+N33</f>
        <v>142.94536389278034</v>
      </c>
      <c r="O64" s="22">
        <f>O17+O22-O50+O21+O33</f>
        <v>142.94536389278034</v>
      </c>
    </row>
    <row r="65" spans="1:15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5"/>
  <sheetViews>
    <sheetView zoomScale="55" zoomScaleNormal="55" workbookViewId="0">
      <pane xSplit="1" ySplit="1" topLeftCell="B2" activePane="bottomRight" state="frozen"/>
      <selection pane="topRight"/>
      <selection pane="bottomLeft"/>
      <selection pane="bottomRight" activeCell="H64" sqref="H64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6384" width="9" style="1"/>
  </cols>
  <sheetData>
    <row r="1" spans="1:13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</row>
    <row r="2" spans="1:1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</row>
    <row r="3" spans="1:1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</row>
    <row r="4" spans="1:1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</row>
    <row r="14" spans="1:13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</row>
    <row r="19" spans="1:1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</row>
    <row r="26" spans="1:13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</row>
    <row r="28" spans="1:13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</row>
    <row r="29" spans="1:13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</row>
    <row r="30" spans="1:13" ht="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</row>
    <row r="31" spans="1:1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</row>
    <row r="33" spans="1:13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</row>
    <row r="34" spans="1:1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</row>
    <row r="38" spans="1:13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</row>
    <row r="40" spans="1:13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 ht="1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</row>
    <row r="42" spans="1:13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 ht="1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</row>
    <row r="44" spans="1:13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 ht="15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</row>
    <row r="46" spans="1:13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30">
      <c r="A50" s="7" t="s">
        <v>80</v>
      </c>
      <c r="B50" s="12">
        <f t="shared" ref="B50:G50" si="12">B43+B45+B47-B48</f>
        <v>-115.03697499232715</v>
      </c>
      <c r="C50" s="12">
        <f t="shared" si="12"/>
        <v>-114.83697499232716</v>
      </c>
      <c r="D50" s="12">
        <f t="shared" si="12"/>
        <v>-120.03697499232715</v>
      </c>
      <c r="E50" s="12">
        <f t="shared" si="12"/>
        <v>-120.03697499232715</v>
      </c>
      <c r="F50" s="71">
        <f t="shared" si="12"/>
        <v>-115.29697499232715</v>
      </c>
      <c r="G50" s="71">
        <f t="shared" si="12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3">J43+J45+J47-J48</f>
        <v>-106.80536389278032</v>
      </c>
      <c r="K50" s="12">
        <f t="shared" si="13"/>
        <v>-106.80536389278032</v>
      </c>
      <c r="L50" s="12">
        <f>L43+L45+L47-L48</f>
        <v>-119.13697499232715</v>
      </c>
      <c r="M50" s="12">
        <f>M43+M45+M47-M48</f>
        <v>-119.13697499232715</v>
      </c>
    </row>
    <row r="51" spans="1:13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30">
      <c r="A52" s="21" t="s">
        <v>83</v>
      </c>
      <c r="B52" s="22">
        <f t="shared" ref="B52:G52" si="14">B25+B30+B33-B34-B50</f>
        <v>154.80818753952377</v>
      </c>
      <c r="C52" s="22">
        <f t="shared" si="14"/>
        <v>151.60818753952378</v>
      </c>
      <c r="D52" s="22">
        <f t="shared" si="14"/>
        <v>160.89818753952378</v>
      </c>
      <c r="E52" s="22">
        <f t="shared" si="14"/>
        <v>157.89818753952378</v>
      </c>
      <c r="F52" s="76">
        <f t="shared" si="14"/>
        <v>155.06818753952376</v>
      </c>
      <c r="G52" s="76">
        <f t="shared" si="14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15">J25+J30+J33-J34-J50</f>
        <v>153.62807622317601</v>
      </c>
      <c r="K52" s="22">
        <f t="shared" si="15"/>
        <v>150.62807622317601</v>
      </c>
      <c r="L52" s="22">
        <f>L25+L30+L33-L34-L50</f>
        <v>158.90818753952379</v>
      </c>
      <c r="M52" s="22">
        <f>M25+M30+M33-M34-M50</f>
        <v>155.90818753952379</v>
      </c>
    </row>
    <row r="53" spans="1:13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</row>
    <row r="54" spans="1:1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</row>
    <row r="55" spans="1:1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</row>
    <row r="56" spans="1:13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</row>
    <row r="57" spans="1:13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</row>
    <row r="58" spans="1:13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</row>
    <row r="59" spans="1:13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</row>
    <row r="60" spans="1:13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</row>
    <row r="61" spans="1:13" ht="30">
      <c r="A61" s="21" t="s">
        <v>108</v>
      </c>
      <c r="B61" s="22">
        <f t="shared" ref="B61:G61" si="16">B52-B56+B58-B59+B60</f>
        <v>120.99818753952377</v>
      </c>
      <c r="C61" s="22">
        <f t="shared" si="16"/>
        <v>117.79818753952378</v>
      </c>
      <c r="D61" s="22">
        <f t="shared" si="16"/>
        <v>127.08818753952377</v>
      </c>
      <c r="E61" s="22">
        <f t="shared" si="16"/>
        <v>124.08818753952377</v>
      </c>
      <c r="F61" s="76">
        <f t="shared" si="16"/>
        <v>121.25818753952376</v>
      </c>
      <c r="G61" s="76">
        <f t="shared" si="16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17">J52-J56+J58-J59+J60</f>
        <v>119.81807622317601</v>
      </c>
      <c r="K61" s="22">
        <f t="shared" si="17"/>
        <v>116.81807622317601</v>
      </c>
      <c r="L61" s="22">
        <f>L52-L56+L58-L59+L60</f>
        <v>125.09818753952379</v>
      </c>
      <c r="M61" s="22">
        <f>M52-M56+M58-M59+M60</f>
        <v>122.09818753952379</v>
      </c>
    </row>
    <row r="62" spans="1:13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</row>
    <row r="63" spans="1:13">
      <c r="C63" s="2"/>
      <c r="E63" s="2"/>
      <c r="G63" s="79"/>
      <c r="I63" s="79"/>
      <c r="J63" s="2"/>
      <c r="K63" s="2"/>
      <c r="L63" s="2"/>
      <c r="M63" s="2"/>
    </row>
    <row r="64" spans="1:13" ht="15">
      <c r="A64" s="21" t="s">
        <v>97</v>
      </c>
      <c r="B64" s="22">
        <f t="shared" ref="B64:G64" si="18">B17+B22-B50+B21+B33</f>
        <v>146.03697499232715</v>
      </c>
      <c r="C64" s="22">
        <f t="shared" si="18"/>
        <v>145.83697499232716</v>
      </c>
      <c r="D64" s="22">
        <f t="shared" si="18"/>
        <v>155.07697499232714</v>
      </c>
      <c r="E64" s="22">
        <f t="shared" si="18"/>
        <v>155.07697499232714</v>
      </c>
      <c r="F64" s="76">
        <f t="shared" si="18"/>
        <v>146.29697499232714</v>
      </c>
      <c r="G64" s="76">
        <f t="shared" si="18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19">J17+J22-J50+J21+J33</f>
        <v>144.85686367597938</v>
      </c>
      <c r="K64" s="22">
        <f t="shared" si="19"/>
        <v>144.85686367597938</v>
      </c>
      <c r="L64" s="22">
        <f>L17+L22-L50+L21+L33</f>
        <v>150.13697499232717</v>
      </c>
      <c r="M64" s="22">
        <f>M17+M22-M50+M21+M33</f>
        <v>150.13697499232717</v>
      </c>
    </row>
    <row r="65" spans="1:13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5"/>
  <sheetViews>
    <sheetView zoomScale="55" zoomScaleNormal="55" workbookViewId="0">
      <pane xSplit="1" ySplit="1" topLeftCell="B2" activePane="bottomRight" state="frozen"/>
      <selection pane="topRight"/>
      <selection pane="bottomLeft"/>
      <selection pane="bottomRight" activeCell="N1" sqref="N1:O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384" width="9" style="1"/>
  </cols>
  <sheetData>
    <row r="1" spans="1:15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129</v>
      </c>
      <c r="O1" s="90"/>
    </row>
    <row r="2" spans="1:1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</row>
    <row r="3" spans="1:15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</row>
    <row r="4" spans="1:1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</row>
    <row r="8" spans="1:15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</row>
    <row r="9" spans="1:15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</row>
    <row r="14" spans="1:15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>L19+10*LOG10(L12/L14)-L20</f>
        <v>0</v>
      </c>
      <c r="M18" s="12">
        <f>M19+10*LOG10(M12/M14)-M20</f>
        <v>-3</v>
      </c>
      <c r="N18" s="8">
        <f>N19+10*LOG10(N12/N14)-N20</f>
        <v>0</v>
      </c>
      <c r="O18" s="8">
        <f>O19+10*LOG10(O12/O14)-O20</f>
        <v>-3</v>
      </c>
    </row>
    <row r="19" spans="1:15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 ht="15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68">
        <f t="shared" si="2"/>
        <v>22</v>
      </c>
      <c r="G25" s="68">
        <f t="shared" si="2"/>
        <v>19</v>
      </c>
      <c r="H25" s="8">
        <f>H17+H18+H21+H22-H24</f>
        <v>22</v>
      </c>
      <c r="I25" s="8">
        <f>I17+I18+I21+I22-I24</f>
        <v>19</v>
      </c>
      <c r="J25" s="8">
        <f t="shared" ref="J25:K25" si="3">J17+J18+J21+J22-J24</f>
        <v>22</v>
      </c>
      <c r="K25" s="8">
        <f t="shared" si="3"/>
        <v>19</v>
      </c>
      <c r="L25" s="8">
        <f>L17+L18+L21+L22-L24</f>
        <v>22</v>
      </c>
      <c r="M25" s="8">
        <f>M17+M18+M21+M22-M24</f>
        <v>19</v>
      </c>
      <c r="N25" s="8">
        <f>N17+N18+N21+N22-N24</f>
        <v>22</v>
      </c>
      <c r="O25" s="8">
        <f>O17+O18+O21+O22-O24</f>
        <v>19</v>
      </c>
    </row>
    <row r="26" spans="1:15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</row>
    <row r="27" spans="1:1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</row>
    <row r="28" spans="1:15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</row>
    <row r="29" spans="1:15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</row>
    <row r="30" spans="1:15" ht="45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12">
        <f t="shared" si="4"/>
        <v>9.8212125471966232</v>
      </c>
      <c r="E30" s="12">
        <f t="shared" si="4"/>
        <v>9.8212125471966232</v>
      </c>
      <c r="F30" s="71">
        <f t="shared" si="4"/>
        <v>12.771212547196624</v>
      </c>
      <c r="G30" s="71">
        <f t="shared" si="4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5">J31+10*LOG10(J28/J13)-J32</f>
        <v>12.771212547196624</v>
      </c>
      <c r="K30" s="12">
        <f t="shared" si="5"/>
        <v>12.771212547196624</v>
      </c>
      <c r="L30" s="12">
        <f>L31+10*LOG10(L28/L13)-L32</f>
        <v>12.771212547196624</v>
      </c>
      <c r="M30" s="12">
        <f>M31+10*LOG10(M28/M13)-M32</f>
        <v>12.771212547196624</v>
      </c>
      <c r="N30" s="8">
        <f>N31+10*LOG10(N28/N13)-N32</f>
        <v>12.771212547196624</v>
      </c>
      <c r="O30" s="8">
        <f>O31+10*LOG10(O28/O13)-O32</f>
        <v>12.771212547196624</v>
      </c>
    </row>
    <row r="31" spans="1:15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</row>
    <row r="33" spans="1:15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</row>
    <row r="34" spans="1:1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</row>
    <row r="38" spans="1:15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</row>
    <row r="39" spans="1:15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1">
        <f t="shared" si="6"/>
        <v>-169.00000000000003</v>
      </c>
      <c r="G39" s="71">
        <f t="shared" si="6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7">10*LOG10(10^((J35+J36)/10)+10^(J37/10))</f>
        <v>-160.9583889004532</v>
      </c>
      <c r="K39" s="12">
        <f t="shared" si="7"/>
        <v>-160.9583889004532</v>
      </c>
      <c r="L39" s="12">
        <f>10*LOG10(10^((L35+L36)/10)+10^(L37/10))</f>
        <v>-169.00000000000003</v>
      </c>
      <c r="M39" s="12">
        <f>10*LOG10(10^((M35+M36)/10)+10^(M37/10))</f>
        <v>-169.00000000000003</v>
      </c>
      <c r="N39" s="8">
        <f>10*LOG10(10^((N35+N36)/10)+10^(N37/10))</f>
        <v>-160.9583889004532</v>
      </c>
      <c r="O39" s="8">
        <f>10*LOG10(10^((O35+O36)/10)+10^(O37/10))</f>
        <v>-160.9583889004532</v>
      </c>
    </row>
    <row r="40" spans="1:15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</row>
    <row r="41" spans="1:15" ht="15">
      <c r="A41" s="20" t="s">
        <v>68</v>
      </c>
      <c r="B41" s="12">
        <f t="shared" ref="B41:G41" si="8">1*12*30*1000</f>
        <v>360000</v>
      </c>
      <c r="C41" s="12">
        <f t="shared" si="8"/>
        <v>360000</v>
      </c>
      <c r="D41" s="12">
        <f t="shared" si="8"/>
        <v>360000</v>
      </c>
      <c r="E41" s="12">
        <f t="shared" si="8"/>
        <v>360000</v>
      </c>
      <c r="F41" s="71">
        <f t="shared" si="8"/>
        <v>360000</v>
      </c>
      <c r="G41" s="71">
        <f t="shared" si="8"/>
        <v>360000</v>
      </c>
      <c r="H41" s="12">
        <f>1*12*30*1000</f>
        <v>360000</v>
      </c>
      <c r="I41" s="12">
        <f>1*12*30*1000</f>
        <v>360000</v>
      </c>
      <c r="J41" s="12">
        <f t="shared" ref="J41:K41" si="9">1*12*30*1000</f>
        <v>360000</v>
      </c>
      <c r="K41" s="12">
        <f t="shared" si="9"/>
        <v>360000</v>
      </c>
      <c r="L41" s="12">
        <f>1*12*30*1000</f>
        <v>360000</v>
      </c>
      <c r="M41" s="12">
        <f>1*12*30*1000</f>
        <v>360000</v>
      </c>
      <c r="N41" s="8">
        <f>1*12*30*1000</f>
        <v>360000</v>
      </c>
      <c r="O41" s="8">
        <f>1*12*30*1000</f>
        <v>360000</v>
      </c>
    </row>
    <row r="42" spans="1:15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</row>
    <row r="43" spans="1:15" ht="15">
      <c r="A43" s="7" t="s">
        <v>71</v>
      </c>
      <c r="B43" s="12">
        <f t="shared" ref="B43:G43" si="10">B39+10*LOG10(B41)</f>
        <v>-113.43697499232715</v>
      </c>
      <c r="C43" s="12">
        <f t="shared" si="10"/>
        <v>-113.43697499232715</v>
      </c>
      <c r="D43" s="12">
        <f t="shared" si="10"/>
        <v>-113.43697499232715</v>
      </c>
      <c r="E43" s="12">
        <f t="shared" si="10"/>
        <v>-113.43697499232715</v>
      </c>
      <c r="F43" s="71">
        <f t="shared" si="10"/>
        <v>-113.43697499232715</v>
      </c>
      <c r="G43" s="71">
        <f t="shared" si="1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1">J39+10*LOG10(J41)</f>
        <v>-105.39536389278032</v>
      </c>
      <c r="K43" s="12">
        <f t="shared" si="11"/>
        <v>-105.39536389278032</v>
      </c>
      <c r="L43" s="12">
        <f>L39+10*LOG10(L41)</f>
        <v>-113.43697499232715</v>
      </c>
      <c r="M43" s="12">
        <f>M39+10*LOG10(M41)</f>
        <v>-113.43697499232715</v>
      </c>
      <c r="N43" s="8">
        <f>N39+10*LOG10(N41)</f>
        <v>-105.39536389278032</v>
      </c>
      <c r="O43" s="8">
        <f>O39+10*LOG10(O41)</f>
        <v>-105.39536389278032</v>
      </c>
    </row>
    <row r="44" spans="1:15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</row>
    <row r="45" spans="1:15" ht="15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</row>
    <row r="46" spans="1:15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</row>
    <row r="47" spans="1:1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</row>
    <row r="50" spans="1:15" ht="30">
      <c r="A50" s="7" t="s">
        <v>80</v>
      </c>
      <c r="B50" s="12">
        <f t="shared" ref="B50:G50" si="12">B43+B45+B47-B48</f>
        <v>-112.03697499232715</v>
      </c>
      <c r="C50" s="12">
        <f t="shared" si="12"/>
        <v>-111.53697499232715</v>
      </c>
      <c r="D50" s="12">
        <f t="shared" si="12"/>
        <v>-117.51697499232715</v>
      </c>
      <c r="E50" s="12">
        <f t="shared" si="12"/>
        <v>-117.51697499232715</v>
      </c>
      <c r="F50" s="71">
        <f t="shared" si="12"/>
        <v>-115.42697499232715</v>
      </c>
      <c r="G50" s="71">
        <f t="shared" si="12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13">J43+J45+J47-J48</f>
        <v>-104.25306389278032</v>
      </c>
      <c r="K50" s="12">
        <f t="shared" si="13"/>
        <v>-104.25306389278032</v>
      </c>
      <c r="L50" s="12">
        <f>L43+L45+L47-L48</f>
        <v>-117.43697499232715</v>
      </c>
      <c r="M50" s="12">
        <f>M43+M45+M47-M48</f>
        <v>-117.43697499232715</v>
      </c>
      <c r="N50" s="8">
        <f>N43+N45+N47-N48</f>
        <v>-103.39536389278032</v>
      </c>
      <c r="O50" s="8">
        <f>O43+O45+O47-O48</f>
        <v>-103.39536389278032</v>
      </c>
    </row>
    <row r="51" spans="1:15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</row>
    <row r="52" spans="1:15" ht="30">
      <c r="A52" s="21" t="s">
        <v>83</v>
      </c>
      <c r="B52" s="22">
        <f t="shared" ref="B52:G52" si="14">B25+B30+B33-B34-B50</f>
        <v>151.80818753952377</v>
      </c>
      <c r="C52" s="22">
        <f t="shared" si="14"/>
        <v>148.30818753952377</v>
      </c>
      <c r="D52" s="22">
        <f t="shared" si="14"/>
        <v>158.37818753952376</v>
      </c>
      <c r="E52" s="22">
        <f t="shared" si="14"/>
        <v>155.37818753952376</v>
      </c>
      <c r="F52" s="76">
        <f t="shared" si="14"/>
        <v>155.19818753952376</v>
      </c>
      <c r="G52" s="76">
        <f t="shared" si="14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15">J25+J30+J33-J34-J50</f>
        <v>151.07577622317601</v>
      </c>
      <c r="K52" s="22">
        <f t="shared" si="15"/>
        <v>148.07577622317601</v>
      </c>
      <c r="L52" s="22">
        <f>L25+L30+L33-L34-L50</f>
        <v>157.20818753952378</v>
      </c>
      <c r="M52" s="22">
        <f>M25+M30+M33-M34-M50</f>
        <v>154.20818753952378</v>
      </c>
      <c r="N52" s="22">
        <f>N25+N30+N33-N34-N50</f>
        <v>150.21657643997696</v>
      </c>
      <c r="O52" s="22">
        <f>O25+O30+O33-O34-O50</f>
        <v>147.21657643997696</v>
      </c>
    </row>
    <row r="53" spans="1:15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</row>
    <row r="54" spans="1:1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</row>
    <row r="56" spans="1:15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</row>
    <row r="57" spans="1:15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</row>
    <row r="58" spans="1:15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</row>
    <row r="59" spans="1:15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</row>
    <row r="60" spans="1:15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</row>
    <row r="61" spans="1:15" ht="30">
      <c r="A61" s="21" t="s">
        <v>108</v>
      </c>
      <c r="B61" s="22">
        <f t="shared" ref="B61:G61" si="16">B52-B56+B58-B59+B60</f>
        <v>117.99818753952377</v>
      </c>
      <c r="C61" s="22">
        <f t="shared" si="16"/>
        <v>114.49818753952377</v>
      </c>
      <c r="D61" s="22">
        <f t="shared" si="16"/>
        <v>124.56818753952376</v>
      </c>
      <c r="E61" s="22">
        <f t="shared" si="16"/>
        <v>121.56818753952376</v>
      </c>
      <c r="F61" s="76">
        <f t="shared" si="16"/>
        <v>121.38818753952376</v>
      </c>
      <c r="G61" s="76">
        <f t="shared" si="16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17">J52-J56+J58-J59+J60</f>
        <v>117.265776223176</v>
      </c>
      <c r="K61" s="22">
        <f t="shared" si="17"/>
        <v>114.265776223176</v>
      </c>
      <c r="L61" s="22">
        <f>L52-L56+L58-L59+L60</f>
        <v>123.39818753952378</v>
      </c>
      <c r="M61" s="22">
        <f>M52-M56+M58-M59+M60</f>
        <v>120.39818753952378</v>
      </c>
      <c r="N61" s="22">
        <f>N52-N56+N58-N59+N60</f>
        <v>116.38657643997695</v>
      </c>
      <c r="O61" s="22">
        <f>O52-O56+O58-O59+O60</f>
        <v>113.38657643997695</v>
      </c>
    </row>
    <row r="62" spans="1:15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</row>
    <row r="63" spans="1:15">
      <c r="C63" s="2"/>
      <c r="E63" s="2"/>
      <c r="G63" s="79"/>
      <c r="I63" s="79"/>
      <c r="J63" s="2"/>
      <c r="K63" s="2"/>
      <c r="L63" s="2"/>
      <c r="M63" s="2"/>
      <c r="O63" s="2"/>
    </row>
    <row r="64" spans="1:15" ht="15">
      <c r="A64" s="21" t="s">
        <v>97</v>
      </c>
      <c r="B64" s="22">
        <f t="shared" ref="B64:G64" si="18">B17+B22-B50+B21+B33</f>
        <v>143.03697499232715</v>
      </c>
      <c r="C64" s="22">
        <f t="shared" si="18"/>
        <v>142.53697499232715</v>
      </c>
      <c r="D64" s="22">
        <f t="shared" si="18"/>
        <v>152.55697499232716</v>
      </c>
      <c r="E64" s="22">
        <f t="shared" si="18"/>
        <v>152.55697499232716</v>
      </c>
      <c r="F64" s="76">
        <f t="shared" si="18"/>
        <v>146.42697499232713</v>
      </c>
      <c r="G64" s="76">
        <f t="shared" si="18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19">J17+J22-J50+J21+J33</f>
        <v>142.30456367597938</v>
      </c>
      <c r="K64" s="22">
        <f t="shared" si="19"/>
        <v>142.30456367597938</v>
      </c>
      <c r="L64" s="22">
        <f>L17+L22-L50+L21+L33</f>
        <v>148.43697499232715</v>
      </c>
      <c r="M64" s="22">
        <f>M17+M22-M50+M21+M33</f>
        <v>148.43697499232715</v>
      </c>
      <c r="N64" s="22">
        <f>N17+N22-N50+N21+N33</f>
        <v>141.44536389278034</v>
      </c>
      <c r="O64" s="22">
        <f>O17+O22-O50+O21+O33</f>
        <v>141.44536389278034</v>
      </c>
    </row>
    <row r="65" spans="1:15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65"/>
  <sheetViews>
    <sheetView zoomScale="55" zoomScaleNormal="55" workbookViewId="0">
      <pane xSplit="1" ySplit="1" topLeftCell="C41" activePane="bottomRight" state="frozen"/>
      <selection pane="topRight"/>
      <selection pane="bottomLeft"/>
      <selection pane="bottomRight" activeCell="P24" sqref="P24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4.625" style="1" customWidth="1"/>
    <col min="15" max="15" width="13.25" style="1" customWidth="1"/>
    <col min="16" max="16" width="15.625" style="2" customWidth="1"/>
    <col min="17" max="17" width="15.625" style="1" customWidth="1"/>
    <col min="18" max="16384" width="9" style="1"/>
  </cols>
  <sheetData>
    <row r="1" spans="1:1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</row>
    <row r="2" spans="1:1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</row>
    <row r="3" spans="1:1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</row>
    <row r="4" spans="1:1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 ht="1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</row>
    <row r="7" spans="1:1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</row>
    <row r="8" spans="1:17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</row>
    <row r="9" spans="1:1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</row>
    <row r="10" spans="1:1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</row>
    <row r="11" spans="1:1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</row>
    <row r="14" spans="1:17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</row>
    <row r="15" spans="1:1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</row>
    <row r="16" spans="1:1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</row>
    <row r="19" spans="1:1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</row>
    <row r="21" spans="1:1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</row>
    <row r="26" spans="1:17" ht="1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68">
        <f t="shared" si="3"/>
        <v>22</v>
      </c>
      <c r="G26" s="68">
        <f t="shared" si="3"/>
        <v>19</v>
      </c>
      <c r="H26" s="8">
        <f>H17+H18+H21-H23-H24</f>
        <v>22</v>
      </c>
      <c r="I26" s="8">
        <f>I17+I18+I21-I23-I24</f>
        <v>19</v>
      </c>
      <c r="J26" s="8">
        <f t="shared" ref="J26:K26" si="4">J17+J18+J21-J23-J24</f>
        <v>22</v>
      </c>
      <c r="K26" s="8">
        <f t="shared" si="4"/>
        <v>19</v>
      </c>
      <c r="L26" s="8">
        <f t="shared" ref="L26:Q26" si="5">L17+L18+L21-L23-L24</f>
        <v>22</v>
      </c>
      <c r="M26" s="8">
        <f t="shared" si="5"/>
        <v>19</v>
      </c>
      <c r="N26" s="8">
        <f t="shared" si="5"/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</row>
    <row r="27" spans="1:1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</row>
    <row r="29" spans="1:17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</row>
    <row r="30" spans="1:17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8">
        <f t="shared" si="8"/>
        <v>12.771212547196624</v>
      </c>
      <c r="Q30" s="8">
        <f t="shared" si="8"/>
        <v>12.771212547196624</v>
      </c>
    </row>
    <row r="31" spans="1:1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</row>
    <row r="33" spans="1:17" ht="28.5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</row>
    <row r="34" spans="1:1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</row>
    <row r="38" spans="1:17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</row>
    <row r="39" spans="1:17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</row>
    <row r="40" spans="1:17" ht="30">
      <c r="A40" s="7" t="s">
        <v>107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1">
        <f t="shared" si="9"/>
        <v>-169.00000000000003</v>
      </c>
      <c r="G40" s="71">
        <f t="shared" si="9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0">10*LOG10(10^((J35+J36)/10)+10^(J38/10))</f>
        <v>-164.03352307536667</v>
      </c>
      <c r="K40" s="12">
        <f t="shared" si="10"/>
        <v>-164.03352307536667</v>
      </c>
      <c r="L40" s="12">
        <f t="shared" ref="L40:Q40" si="11">10*LOG10(10^((L35+L36)/10)+10^(L38/10))</f>
        <v>-169.00000000000003</v>
      </c>
      <c r="M40" s="12">
        <f t="shared" si="11"/>
        <v>-169.00000000000003</v>
      </c>
      <c r="N40" s="8">
        <f t="shared" si="11"/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</row>
    <row r="41" spans="1:17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</row>
    <row r="42" spans="1:17" ht="1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12">30*360*1000</f>
        <v>10800000</v>
      </c>
      <c r="G42" s="74">
        <f t="shared" si="12"/>
        <v>10800000</v>
      </c>
      <c r="H42" s="16">
        <f t="shared" si="12"/>
        <v>10800000</v>
      </c>
      <c r="I42" s="16">
        <f t="shared" si="12"/>
        <v>10800000</v>
      </c>
      <c r="J42" s="16">
        <f t="shared" si="12"/>
        <v>10800000</v>
      </c>
      <c r="K42" s="16">
        <f t="shared" si="12"/>
        <v>10800000</v>
      </c>
      <c r="L42" s="16">
        <f t="shared" ref="L42:Q42" si="13">30*360*1000</f>
        <v>10800000</v>
      </c>
      <c r="M42" s="16">
        <f t="shared" si="13"/>
        <v>10800000</v>
      </c>
      <c r="N42" s="16">
        <f t="shared" si="13"/>
        <v>10800000</v>
      </c>
      <c r="O42" s="16">
        <f t="shared" si="13"/>
        <v>10800000</v>
      </c>
      <c r="P42" s="16">
        <f t="shared" si="13"/>
        <v>10800000</v>
      </c>
      <c r="Q42" s="16">
        <f t="shared" si="13"/>
        <v>10800000</v>
      </c>
    </row>
    <row r="43" spans="1:17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</row>
    <row r="44" spans="1:17" ht="15">
      <c r="A44" s="7" t="s">
        <v>72</v>
      </c>
      <c r="B44" s="12">
        <f t="shared" ref="B44:G44" si="14">B40+10*LOG10(B42)</f>
        <v>-98.66576244513054</v>
      </c>
      <c r="C44" s="12">
        <f t="shared" si="14"/>
        <v>-98.66576244513054</v>
      </c>
      <c r="D44" s="12">
        <f t="shared" si="14"/>
        <v>-98.251835593548279</v>
      </c>
      <c r="E44" s="12">
        <f t="shared" si="14"/>
        <v>-98.251835593548279</v>
      </c>
      <c r="F44" s="71">
        <f t="shared" si="14"/>
        <v>-98.66576244513054</v>
      </c>
      <c r="G44" s="71">
        <f t="shared" si="14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15">J40+10*LOG10(J42)</f>
        <v>-93.699285520497185</v>
      </c>
      <c r="K44" s="12">
        <f t="shared" si="15"/>
        <v>-93.699285520497185</v>
      </c>
      <c r="L44" s="12">
        <f t="shared" ref="L44:Q44" si="16">L40+10*LOG10(L42)</f>
        <v>-98.66576244513054</v>
      </c>
      <c r="M44" s="12">
        <f t="shared" si="16"/>
        <v>-98.66576244513054</v>
      </c>
      <c r="N44" s="8">
        <f t="shared" si="16"/>
        <v>-98.66576244513054</v>
      </c>
      <c r="O44" s="8">
        <f t="shared" si="16"/>
        <v>-98.66576244513054</v>
      </c>
      <c r="P44" s="8">
        <f t="shared" si="16"/>
        <v>-93.699285520497185</v>
      </c>
      <c r="Q44" s="8">
        <f t="shared" si="16"/>
        <v>-93.699285520497185</v>
      </c>
    </row>
    <row r="45" spans="1:17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</row>
    <row r="46" spans="1:17" ht="1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</row>
    <row r="49" spans="1:1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</row>
    <row r="50" spans="1:1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</row>
    <row r="51" spans="1:17" ht="30">
      <c r="A51" s="7" t="s">
        <v>82</v>
      </c>
      <c r="B51" s="12">
        <f t="shared" ref="B51:G51" si="17">B44+B46+B47-B49</f>
        <v>-95.66576244513054</v>
      </c>
      <c r="C51" s="12">
        <f t="shared" si="17"/>
        <v>-95.66576244513054</v>
      </c>
      <c r="D51" s="12">
        <f t="shared" si="17"/>
        <v>-101.10183559354827</v>
      </c>
      <c r="E51" s="12">
        <f t="shared" si="17"/>
        <v>-101.10183559354827</v>
      </c>
      <c r="F51" s="71">
        <f t="shared" si="17"/>
        <v>-101.36576244513054</v>
      </c>
      <c r="G51" s="71">
        <f t="shared" si="17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18">J44+J46+J47-J49</f>
        <v>-90.949285520497185</v>
      </c>
      <c r="K51" s="12">
        <f t="shared" si="18"/>
        <v>-91.139285520497182</v>
      </c>
      <c r="L51" s="12">
        <f t="shared" ref="L51:Q51" si="19">L44+L46+L47-L49</f>
        <v>-102.96576244513054</v>
      </c>
      <c r="M51" s="12">
        <f t="shared" si="19"/>
        <v>-102.96576244513054</v>
      </c>
      <c r="N51" s="8">
        <f t="shared" si="19"/>
        <v>-107.86576244513054</v>
      </c>
      <c r="O51" s="8">
        <f t="shared" si="19"/>
        <v>-107.86576244513054</v>
      </c>
      <c r="P51" s="8">
        <f t="shared" si="19"/>
        <v>-91.799285520497179</v>
      </c>
      <c r="Q51" s="8">
        <f t="shared" si="19"/>
        <v>-91.799285520497179</v>
      </c>
    </row>
    <row r="52" spans="1:17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</row>
    <row r="53" spans="1:17" ht="30">
      <c r="A53" s="29" t="s">
        <v>85</v>
      </c>
      <c r="B53" s="22">
        <f t="shared" ref="B53:G53" si="20">B26+B30+B33-B34-B51</f>
        <v>139.43697499232718</v>
      </c>
      <c r="C53" s="22">
        <f t="shared" si="20"/>
        <v>136.43697499232718</v>
      </c>
      <c r="D53" s="22">
        <f t="shared" si="20"/>
        <v>141.96304814074489</v>
      </c>
      <c r="E53" s="22">
        <f t="shared" si="20"/>
        <v>138.96304814074489</v>
      </c>
      <c r="F53" s="76">
        <f t="shared" si="20"/>
        <v>145.13697499232717</v>
      </c>
      <c r="G53" s="76">
        <f t="shared" si="20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21">J26+J30+J33-J34-J51</f>
        <v>137.77199785089289</v>
      </c>
      <c r="K53" s="22">
        <f t="shared" si="21"/>
        <v>134.96199785089289</v>
      </c>
      <c r="L53" s="22">
        <f t="shared" ref="L53:Q53" si="22">L26+L30+L33-L34-L51</f>
        <v>146.73697499232716</v>
      </c>
      <c r="M53" s="22">
        <f t="shared" si="22"/>
        <v>143.73697499232716</v>
      </c>
      <c r="N53" s="22">
        <f t="shared" si="22"/>
        <v>151.63697499232717</v>
      </c>
      <c r="O53" s="22">
        <f t="shared" si="22"/>
        <v>148.63697499232717</v>
      </c>
      <c r="P53" s="22">
        <f t="shared" si="22"/>
        <v>138.6204980676938</v>
      </c>
      <c r="Q53" s="22">
        <f t="shared" si="22"/>
        <v>135.6204980676938</v>
      </c>
    </row>
    <row r="54" spans="1:1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</row>
    <row r="56" spans="1:17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</row>
    <row r="57" spans="1:17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</row>
    <row r="58" spans="1:17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</row>
    <row r="59" spans="1:17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</row>
    <row r="60" spans="1:17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</row>
    <row r="61" spans="1:17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</row>
    <row r="62" spans="1:17" ht="30">
      <c r="A62" s="29" t="s">
        <v>109</v>
      </c>
      <c r="B62" s="22">
        <f t="shared" ref="B62:G62" si="23">B53-B57+B58-B59+B60</f>
        <v>108.70697499232719</v>
      </c>
      <c r="C62" s="22">
        <f t="shared" si="23"/>
        <v>105.70697499232719</v>
      </c>
      <c r="D62" s="22">
        <f t="shared" si="23"/>
        <v>111.2330481407449</v>
      </c>
      <c r="E62" s="22">
        <f t="shared" si="23"/>
        <v>108.2330481407449</v>
      </c>
      <c r="F62" s="76">
        <f t="shared" si="23"/>
        <v>114.40697499232718</v>
      </c>
      <c r="G62" s="76">
        <f t="shared" si="23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24">J53-J57+J58-J59+J60</f>
        <v>107.0419978508929</v>
      </c>
      <c r="K62" s="22">
        <f t="shared" si="24"/>
        <v>104.2319978508929</v>
      </c>
      <c r="L62" s="22">
        <f t="shared" ref="L62:Q62" si="25">L53-L57+L58-L59+L60</f>
        <v>116.00697499232717</v>
      </c>
      <c r="M62" s="22">
        <f t="shared" si="25"/>
        <v>113.00697499232717</v>
      </c>
      <c r="N62" s="22">
        <f t="shared" si="25"/>
        <v>120.90697499232718</v>
      </c>
      <c r="O62" s="22">
        <f t="shared" si="25"/>
        <v>117.90697499232718</v>
      </c>
      <c r="P62" s="22">
        <f t="shared" si="25"/>
        <v>107.89049806769381</v>
      </c>
      <c r="Q62" s="22">
        <f t="shared" si="25"/>
        <v>104.89049806769381</v>
      </c>
    </row>
    <row r="63" spans="1:17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</row>
    <row r="64" spans="1:17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</row>
    <row r="65" spans="1:17" ht="15">
      <c r="A65" s="29" t="s">
        <v>98</v>
      </c>
      <c r="B65" s="22">
        <f t="shared" ref="B65:G65" si="26">B17-B23-B51+B21+B33</f>
        <v>130.66576244513055</v>
      </c>
      <c r="C65" s="22">
        <f t="shared" si="26"/>
        <v>130.66576244513055</v>
      </c>
      <c r="D65" s="22">
        <f t="shared" si="26"/>
        <v>136.14183559354828</v>
      </c>
      <c r="E65" s="22">
        <f t="shared" si="26"/>
        <v>136.14183559354828</v>
      </c>
      <c r="F65" s="76">
        <f t="shared" si="26"/>
        <v>136.36576244513054</v>
      </c>
      <c r="G65" s="76">
        <f t="shared" si="26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27">J17-J23-J51+J21+J33</f>
        <v>129.00078530369623</v>
      </c>
      <c r="K65" s="22">
        <f t="shared" si="27"/>
        <v>129.19078530369623</v>
      </c>
      <c r="L65" s="22">
        <f t="shared" ref="L65:Q65" si="28">L17-L23-L51+L21+L33</f>
        <v>137.96576244513054</v>
      </c>
      <c r="M65" s="22">
        <f t="shared" si="28"/>
        <v>137.96576244513054</v>
      </c>
      <c r="N65" s="22">
        <f t="shared" si="28"/>
        <v>142.86576244513054</v>
      </c>
      <c r="O65" s="22">
        <f t="shared" si="28"/>
        <v>142.86576244513054</v>
      </c>
      <c r="P65" s="22">
        <f t="shared" si="28"/>
        <v>129.84928552049718</v>
      </c>
      <c r="Q65" s="22">
        <f t="shared" si="28"/>
        <v>129.84928552049718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65"/>
  <sheetViews>
    <sheetView zoomScale="85" zoomScaleNormal="85" workbookViewId="0">
      <pane xSplit="1" ySplit="1" topLeftCell="P2" activePane="bottomRight" state="frozen"/>
      <selection pane="topRight"/>
      <selection pane="bottomLeft"/>
      <selection pane="bottomRight" activeCell="U11" sqref="U11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75" style="1" customWidth="1"/>
    <col min="21" max="21" width="14.75" style="1" customWidth="1"/>
    <col min="22" max="22" width="15.625" style="2" customWidth="1"/>
    <col min="23" max="24" width="15.625" style="1" customWidth="1"/>
    <col min="25" max="16384" width="9" style="1"/>
  </cols>
  <sheetData>
    <row r="1" spans="1:24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</row>
    <row r="2" spans="1:24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</row>
    <row r="3" spans="1:24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</row>
    <row r="4" spans="1:24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</row>
    <row r="5" spans="1:24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</row>
    <row r="6" spans="1:24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</row>
    <row r="7" spans="1:24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</row>
    <row r="8" spans="1:24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</row>
    <row r="9" spans="1:24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</row>
    <row r="10" spans="1:24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</row>
    <row r="11" spans="1:24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</row>
    <row r="13" spans="1:24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</row>
    <row r="14" spans="1:24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</row>
    <row r="15" spans="1:24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</row>
    <row r="16" spans="1:24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>V15+10*LOG10(V4)</f>
        <v>53</v>
      </c>
      <c r="W16" s="8">
        <f>W15+10*LOG10(W4)</f>
        <v>53</v>
      </c>
      <c r="X16" s="8">
        <f>X15+10*LOG10(X4)</f>
        <v>53</v>
      </c>
    </row>
    <row r="17" spans="1:24" ht="30">
      <c r="A17" s="7" t="s">
        <v>35</v>
      </c>
      <c r="B17" s="12">
        <f t="shared" ref="B17:I17" si="3">B15+10*LOG10(B41/1000000)</f>
        <v>45.375437381428746</v>
      </c>
      <c r="C17" s="12">
        <f t="shared" si="3"/>
        <v>45.375437381428746</v>
      </c>
      <c r="D17" s="12">
        <f t="shared" si="3"/>
        <v>45.375437381428746</v>
      </c>
      <c r="E17" s="12">
        <f t="shared" si="3"/>
        <v>45.375437381428746</v>
      </c>
      <c r="F17" s="12">
        <f t="shared" si="3"/>
        <v>45.375437381428746</v>
      </c>
      <c r="G17" s="71">
        <f t="shared" si="3"/>
        <v>45.375437381428746</v>
      </c>
      <c r="H17" s="71">
        <f t="shared" si="3"/>
        <v>45.375437381428746</v>
      </c>
      <c r="I17" s="71">
        <f t="shared" si="3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4">M15+10*LOG10(M41/1000000)</f>
        <v>45.375437381428746</v>
      </c>
      <c r="N17" s="12">
        <f t="shared" si="4"/>
        <v>45.375437381428746</v>
      </c>
      <c r="O17" s="12">
        <f t="shared" si="4"/>
        <v>45.375437381428746</v>
      </c>
      <c r="P17" s="12">
        <f t="shared" ref="P17:U17" si="5">P15+10*LOG10(P41/1000000)</f>
        <v>45.375437381428746</v>
      </c>
      <c r="Q17" s="12">
        <f t="shared" si="5"/>
        <v>45.375437381428746</v>
      </c>
      <c r="R17" s="12">
        <f t="shared" si="5"/>
        <v>45.375437381428746</v>
      </c>
      <c r="S17" s="8">
        <f t="shared" si="5"/>
        <v>45.375437381428746</v>
      </c>
      <c r="T17" s="8">
        <f t="shared" si="5"/>
        <v>45.375437381428746</v>
      </c>
      <c r="U17" s="8">
        <f t="shared" si="5"/>
        <v>45.375437381428746</v>
      </c>
      <c r="V17" s="8">
        <f>V15+10*LOG10(V41/1000000)</f>
        <v>45.375437381428746</v>
      </c>
      <c r="W17" s="8">
        <f>W15+10*LOG10(W41/1000000)</f>
        <v>45.375437381428746</v>
      </c>
      <c r="X17" s="8">
        <f>X15+10*LOG10(X41/1000000)</f>
        <v>45.375437381428746</v>
      </c>
    </row>
    <row r="18" spans="1:24" ht="45">
      <c r="A18" s="14" t="s">
        <v>37</v>
      </c>
      <c r="B18" s="12">
        <f t="shared" ref="B18:I18" si="6">B19+10*LOG10(B12/B13)-B20</f>
        <v>12.771212547196624</v>
      </c>
      <c r="C18" s="12">
        <f t="shared" si="6"/>
        <v>12.771212547196624</v>
      </c>
      <c r="D18" s="12">
        <f t="shared" si="6"/>
        <v>12.771212547196624</v>
      </c>
      <c r="E18" s="12">
        <f t="shared" si="6"/>
        <v>9.8212125471966232</v>
      </c>
      <c r="F18" s="12">
        <f t="shared" si="6"/>
        <v>9.8212125471966232</v>
      </c>
      <c r="G18" s="71">
        <f t="shared" si="6"/>
        <v>12.771212547196624</v>
      </c>
      <c r="H18" s="71">
        <f t="shared" si="6"/>
        <v>12.771212547196624</v>
      </c>
      <c r="I18" s="71">
        <f t="shared" si="6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7">M19+10*LOG10(M12/M13)-M20</f>
        <v>10.121212547196624</v>
      </c>
      <c r="N18" s="12">
        <f t="shared" si="7"/>
        <v>10.121212547196624</v>
      </c>
      <c r="O18" s="12">
        <f t="shared" si="7"/>
        <v>10.121212547196624</v>
      </c>
      <c r="P18" s="12">
        <f t="shared" ref="P18:U18" si="8">P19+10*LOG10(P12/P13)-P20</f>
        <v>12.771212547196624</v>
      </c>
      <c r="Q18" s="12">
        <f t="shared" si="8"/>
        <v>12.771212547196624</v>
      </c>
      <c r="R18" s="12">
        <f t="shared" si="8"/>
        <v>12.771212547196624</v>
      </c>
      <c r="S18" s="8">
        <f t="shared" si="8"/>
        <v>12.771212547196624</v>
      </c>
      <c r="T18" s="8">
        <f t="shared" si="8"/>
        <v>12.771212547196624</v>
      </c>
      <c r="U18" s="8">
        <f t="shared" si="8"/>
        <v>12.771212547196624</v>
      </c>
      <c r="V18" s="8">
        <f>V19+10*LOG10(V12/V13)-V20</f>
        <v>12.771212547196624</v>
      </c>
      <c r="W18" s="8">
        <f>W19+10*LOG10(W12/W13)-W20</f>
        <v>12.771212547196624</v>
      </c>
      <c r="X18" s="8">
        <f>X19+10*LOG10(X12/X13)-X20</f>
        <v>12.771212547196624</v>
      </c>
    </row>
    <row r="19" spans="1:24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</row>
    <row r="20" spans="1:24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</row>
    <row r="21" spans="1:24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9">10*LOG10(N13/N14)-8</f>
        <v>7.0514997831990609</v>
      </c>
      <c r="O21" s="16">
        <f t="shared" si="9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</row>
    <row r="22" spans="1:24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</row>
    <row r="23" spans="1:24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</row>
    <row r="24" spans="1:24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</row>
    <row r="25" spans="1:24" ht="15">
      <c r="A25" s="7" t="s">
        <v>49</v>
      </c>
      <c r="B25" s="12">
        <f t="shared" ref="B25:I25" si="10">B17+B18+B21+B22-B24</f>
        <v>63.146649928625379</v>
      </c>
      <c r="C25" s="12">
        <f t="shared" si="10"/>
        <v>63.146649928625379</v>
      </c>
      <c r="D25" s="12">
        <f t="shared" si="10"/>
        <v>63.146649928625379</v>
      </c>
      <c r="E25" s="12">
        <f t="shared" si="10"/>
        <v>53.806649928625369</v>
      </c>
      <c r="F25" s="12">
        <f t="shared" si="10"/>
        <v>53.806649928625369</v>
      </c>
      <c r="G25" s="71">
        <f t="shared" si="10"/>
        <v>63.146649928625379</v>
      </c>
      <c r="H25" s="71">
        <f t="shared" si="10"/>
        <v>63.146649928625379</v>
      </c>
      <c r="I25" s="71">
        <f t="shared" si="10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11">M17+M18+M21+M22-M24</f>
        <v>59.548149711824436</v>
      </c>
      <c r="N25" s="12">
        <f t="shared" si="11"/>
        <v>59.548149711824436</v>
      </c>
      <c r="O25" s="12">
        <f t="shared" si="11"/>
        <v>59.548149711824436</v>
      </c>
      <c r="P25" s="12">
        <f t="shared" ref="P25:U25" si="12">P17+P18+P21+P22-P24</f>
        <v>63.146649928625379</v>
      </c>
      <c r="Q25" s="12">
        <f t="shared" si="12"/>
        <v>63.146649928625379</v>
      </c>
      <c r="R25" s="12">
        <f t="shared" si="12"/>
        <v>63.146649928625379</v>
      </c>
      <c r="S25" s="8">
        <f t="shared" si="12"/>
        <v>65.146649928625379</v>
      </c>
      <c r="T25" s="8">
        <f t="shared" si="12"/>
        <v>65.146649928625379</v>
      </c>
      <c r="U25" s="8">
        <f t="shared" si="12"/>
        <v>65.146649928625379</v>
      </c>
      <c r="V25" s="8">
        <f>V17+V18+V21+V22-V24</f>
        <v>70.196649928625376</v>
      </c>
      <c r="W25" s="8">
        <f>W17+W18+W21+W22-W24</f>
        <v>70.196649928625376</v>
      </c>
      <c r="X25" s="8">
        <f>X17+X18+X21+X22-X24</f>
        <v>70.196649928625376</v>
      </c>
    </row>
    <row r="26" spans="1:24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</row>
    <row r="27" spans="1:24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</row>
    <row r="29" spans="1:24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</row>
    <row r="30" spans="1:24" ht="45">
      <c r="A30" s="7" t="s">
        <v>56</v>
      </c>
      <c r="B30" s="12">
        <f t="shared" ref="B30:I30" si="13">B31+10*LOG10(B28/B29)-B32</f>
        <v>0</v>
      </c>
      <c r="C30" s="12">
        <f t="shared" si="13"/>
        <v>-3</v>
      </c>
      <c r="D30" s="12">
        <f t="shared" si="13"/>
        <v>-3</v>
      </c>
      <c r="E30" s="12">
        <f t="shared" si="13"/>
        <v>0</v>
      </c>
      <c r="F30" s="12">
        <f t="shared" si="13"/>
        <v>-3</v>
      </c>
      <c r="G30" s="71">
        <f t="shared" si="13"/>
        <v>0</v>
      </c>
      <c r="H30" s="71">
        <f t="shared" si="13"/>
        <v>-3</v>
      </c>
      <c r="I30" s="71">
        <f t="shared" si="13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4">M31+10*LOG10(M28/M29)-M32</f>
        <v>0</v>
      </c>
      <c r="N30" s="12">
        <f t="shared" si="14"/>
        <v>-3</v>
      </c>
      <c r="O30" s="12">
        <f t="shared" si="14"/>
        <v>-3</v>
      </c>
      <c r="P30" s="12">
        <f t="shared" ref="P30:U30" si="15">P31+10*LOG10(P28/P29)-P32</f>
        <v>0</v>
      </c>
      <c r="Q30" s="12">
        <f t="shared" si="15"/>
        <v>-3</v>
      </c>
      <c r="R30" s="12">
        <f t="shared" si="15"/>
        <v>-3</v>
      </c>
      <c r="S30" s="8">
        <f t="shared" si="15"/>
        <v>0</v>
      </c>
      <c r="T30" s="8">
        <f t="shared" si="15"/>
        <v>-3</v>
      </c>
      <c r="U30" s="8">
        <f t="shared" si="15"/>
        <v>-3</v>
      </c>
      <c r="V30" s="8">
        <f>V31+10*LOG10(V28/V29)-V32</f>
        <v>0</v>
      </c>
      <c r="W30" s="8">
        <f>W31+10*LOG10(W28/W29)-W32</f>
        <v>-3</v>
      </c>
      <c r="X30" s="8">
        <f>X31+10*LOG10(X28/X29)-X32</f>
        <v>-3</v>
      </c>
    </row>
    <row r="31" spans="1:24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</row>
    <row r="32" spans="1:24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</row>
    <row r="33" spans="1:24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</row>
    <row r="34" spans="1:24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</row>
    <row r="35" spans="1:24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</row>
    <row r="36" spans="1:24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</row>
    <row r="37" spans="1:24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</row>
    <row r="38" spans="1:24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</row>
    <row r="39" spans="1:24" ht="30">
      <c r="A39" s="7" t="s">
        <v>106</v>
      </c>
      <c r="B39" s="12">
        <f t="shared" ref="B39:I39" si="16">10*LOG10(10^((B35+B36)/10)+10^(B37/10))</f>
        <v>-167.00000000000003</v>
      </c>
      <c r="C39" s="12">
        <f t="shared" si="16"/>
        <v>-167.00000000000003</v>
      </c>
      <c r="D39" s="12">
        <f t="shared" si="16"/>
        <v>-167.00000000000003</v>
      </c>
      <c r="E39" s="12">
        <f t="shared" si="16"/>
        <v>-167.00000000000003</v>
      </c>
      <c r="F39" s="12">
        <f t="shared" si="16"/>
        <v>-167.00000000000003</v>
      </c>
      <c r="G39" s="71">
        <f t="shared" si="16"/>
        <v>-167.00000000000003</v>
      </c>
      <c r="H39" s="71">
        <f t="shared" si="16"/>
        <v>-167.00000000000003</v>
      </c>
      <c r="I39" s="71">
        <f t="shared" si="16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17">10*LOG10(10^((M35+M36)/10)+10^(M37/10))</f>
        <v>-164.98918835931039</v>
      </c>
      <c r="N39" s="12">
        <f t="shared" si="17"/>
        <v>-164.98918835931039</v>
      </c>
      <c r="O39" s="12">
        <f t="shared" si="17"/>
        <v>-164.98918835931039</v>
      </c>
      <c r="P39" s="12">
        <f t="shared" ref="P39:U39" si="18">10*LOG10(10^((P35+P36)/10)+10^(P37/10))</f>
        <v>-167.00000000000003</v>
      </c>
      <c r="Q39" s="12">
        <f t="shared" si="18"/>
        <v>-167.00000000000003</v>
      </c>
      <c r="R39" s="12">
        <f t="shared" si="18"/>
        <v>-167.00000000000003</v>
      </c>
      <c r="S39" s="8">
        <f t="shared" si="18"/>
        <v>-167.00000000000003</v>
      </c>
      <c r="T39" s="8">
        <f t="shared" si="18"/>
        <v>-167.00000000000003</v>
      </c>
      <c r="U39" s="8">
        <f t="shared" si="18"/>
        <v>-167.00000000000003</v>
      </c>
      <c r="V39" s="8">
        <f>10*LOG10(10^((V35+V36)/10)+10^(V37/10))</f>
        <v>-164.98918835931039</v>
      </c>
      <c r="W39" s="8">
        <f>10*LOG10(10^((W35+W36)/10)+10^(W37/10))</f>
        <v>-164.98918835931039</v>
      </c>
      <c r="X39" s="8">
        <f>10*LOG10(10^((X35+X36)/10)+10^(X37/10))</f>
        <v>-164.98918835931039</v>
      </c>
    </row>
    <row r="40" spans="1:24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</row>
    <row r="41" spans="1:24" ht="15">
      <c r="A41" s="20" t="s">
        <v>68</v>
      </c>
      <c r="B41" s="12">
        <f t="shared" ref="B41:I41" si="19">48*360*1000</f>
        <v>17280000</v>
      </c>
      <c r="C41" s="12">
        <f t="shared" si="19"/>
        <v>17280000</v>
      </c>
      <c r="D41" s="12">
        <f t="shared" si="19"/>
        <v>17280000</v>
      </c>
      <c r="E41" s="12">
        <f t="shared" si="19"/>
        <v>17280000</v>
      </c>
      <c r="F41" s="12">
        <f t="shared" si="19"/>
        <v>17280000</v>
      </c>
      <c r="G41" s="71">
        <f t="shared" si="19"/>
        <v>17280000</v>
      </c>
      <c r="H41" s="71">
        <f t="shared" si="19"/>
        <v>17280000</v>
      </c>
      <c r="I41" s="71">
        <f t="shared" si="19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20">48*360*1000</f>
        <v>17280000</v>
      </c>
      <c r="N41" s="12">
        <f t="shared" si="20"/>
        <v>17280000</v>
      </c>
      <c r="O41" s="12">
        <f t="shared" si="20"/>
        <v>17280000</v>
      </c>
      <c r="P41" s="12">
        <f t="shared" ref="P41:U41" si="21">48*360*1000</f>
        <v>17280000</v>
      </c>
      <c r="Q41" s="12">
        <f t="shared" si="21"/>
        <v>17280000</v>
      </c>
      <c r="R41" s="12">
        <f t="shared" si="21"/>
        <v>17280000</v>
      </c>
      <c r="S41" s="8">
        <f t="shared" si="21"/>
        <v>17280000</v>
      </c>
      <c r="T41" s="8">
        <f t="shared" si="21"/>
        <v>17280000</v>
      </c>
      <c r="U41" s="8">
        <f t="shared" si="21"/>
        <v>17280000</v>
      </c>
      <c r="V41" s="8">
        <f>48*360*1000</f>
        <v>17280000</v>
      </c>
      <c r="W41" s="8">
        <f>48*360*1000</f>
        <v>17280000</v>
      </c>
      <c r="X41" s="8">
        <f>48*360*1000</f>
        <v>17280000</v>
      </c>
    </row>
    <row r="42" spans="1:24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</row>
    <row r="43" spans="1:24" ht="15">
      <c r="A43" s="7" t="s">
        <v>71</v>
      </c>
      <c r="B43" s="12">
        <f t="shared" ref="B43:I43" si="22">B39+10*LOG10(B41)</f>
        <v>-94.624562618571289</v>
      </c>
      <c r="C43" s="12">
        <f t="shared" si="22"/>
        <v>-94.624562618571289</v>
      </c>
      <c r="D43" s="12">
        <f t="shared" si="22"/>
        <v>-94.624562618571289</v>
      </c>
      <c r="E43" s="12">
        <f t="shared" si="22"/>
        <v>-94.624562618571289</v>
      </c>
      <c r="F43" s="12">
        <f t="shared" si="22"/>
        <v>-94.624562618571289</v>
      </c>
      <c r="G43" s="71">
        <f t="shared" si="22"/>
        <v>-94.624562618571289</v>
      </c>
      <c r="H43" s="71">
        <f t="shared" si="22"/>
        <v>-94.624562618571289</v>
      </c>
      <c r="I43" s="71">
        <f t="shared" si="22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23">M39+10*LOG10(M41)</f>
        <v>-92.613750977881651</v>
      </c>
      <c r="N43" s="12">
        <f t="shared" si="23"/>
        <v>-92.613750977881651</v>
      </c>
      <c r="O43" s="12">
        <f t="shared" si="23"/>
        <v>-92.613750977881651</v>
      </c>
      <c r="P43" s="12">
        <f t="shared" ref="P43:U43" si="24">P39+10*LOG10(P41)</f>
        <v>-94.624562618571289</v>
      </c>
      <c r="Q43" s="12">
        <f t="shared" si="24"/>
        <v>-94.624562618571289</v>
      </c>
      <c r="R43" s="12">
        <f t="shared" si="24"/>
        <v>-94.624562618571289</v>
      </c>
      <c r="S43" s="8">
        <f t="shared" si="24"/>
        <v>-94.624562618571289</v>
      </c>
      <c r="T43" s="8">
        <f t="shared" si="24"/>
        <v>-94.624562618571289</v>
      </c>
      <c r="U43" s="8">
        <f t="shared" si="24"/>
        <v>-94.624562618571289</v>
      </c>
      <c r="V43" s="8">
        <f>V39+10*LOG10(V41)</f>
        <v>-92.613750977881651</v>
      </c>
      <c r="W43" s="8">
        <f>W39+10*LOG10(W41)</f>
        <v>-92.613750977881651</v>
      </c>
      <c r="X43" s="8">
        <f>X39+10*LOG10(X41)</f>
        <v>-92.613750977881651</v>
      </c>
    </row>
    <row r="44" spans="1:24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</row>
    <row r="45" spans="1:24" ht="15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</row>
    <row r="46" spans="1:24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</row>
    <row r="47" spans="1:24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</row>
    <row r="48" spans="1:24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</row>
    <row r="49" spans="1:24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</row>
    <row r="50" spans="1:24" ht="30">
      <c r="A50" s="7" t="s">
        <v>80</v>
      </c>
      <c r="B50" s="12">
        <f t="shared" ref="B50:I50" si="25">B43+B45+B47-B48</f>
        <v>-103.72456261857128</v>
      </c>
      <c r="C50" s="12">
        <f t="shared" si="25"/>
        <v>-100.92456261857129</v>
      </c>
      <c r="D50" s="12">
        <f t="shared" si="25"/>
        <v>-97.424562618571287</v>
      </c>
      <c r="E50" s="12">
        <f t="shared" si="25"/>
        <v>-104.17456261857129</v>
      </c>
      <c r="F50" s="12">
        <f t="shared" si="25"/>
        <v>-98.01456261857129</v>
      </c>
      <c r="G50" s="71">
        <f t="shared" si="25"/>
        <v>-105.31456261857129</v>
      </c>
      <c r="H50" s="71">
        <f t="shared" si="25"/>
        <v>-102.00456261857128</v>
      </c>
      <c r="I50" s="71">
        <f t="shared" si="25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26">M43+M45+M47-M48</f>
        <v>-99.073750977881645</v>
      </c>
      <c r="N50" s="12">
        <f t="shared" si="26"/>
        <v>-96.393750977881652</v>
      </c>
      <c r="O50" s="12">
        <f t="shared" si="26"/>
        <v>-93.173750977881653</v>
      </c>
      <c r="P50" s="12">
        <f t="shared" ref="P50:U50" si="27">P43+P45+P47-P48</f>
        <v>-104.12456261857129</v>
      </c>
      <c r="Q50" s="12">
        <f t="shared" si="27"/>
        <v>-101.62456261857129</v>
      </c>
      <c r="R50" s="12">
        <f t="shared" si="27"/>
        <v>-98.474562618571284</v>
      </c>
      <c r="S50" s="8">
        <f t="shared" si="27"/>
        <v>-100.62456261857129</v>
      </c>
      <c r="T50" s="8">
        <f t="shared" si="27"/>
        <v>-97.824562618571292</v>
      </c>
      <c r="U50" s="8">
        <f t="shared" si="27"/>
        <v>-95.224562618571284</v>
      </c>
      <c r="V50" s="8">
        <f>V43+V45+V47-V48</f>
        <v>-99.113750977881651</v>
      </c>
      <c r="W50" s="8">
        <f>W43+W45+W47-W48</f>
        <v>-96.313750977881654</v>
      </c>
      <c r="X50" s="8">
        <f>X43+X45+X47-X48</f>
        <v>-92.313750977881654</v>
      </c>
    </row>
    <row r="51" spans="1:24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</row>
    <row r="52" spans="1:24" ht="30">
      <c r="A52" s="21" t="s">
        <v>83</v>
      </c>
      <c r="B52" s="22">
        <f t="shared" ref="B52:G52" si="28">B25+B30+B33-B34-B50</f>
        <v>165.87121254719665</v>
      </c>
      <c r="C52" s="22">
        <f t="shared" si="28"/>
        <v>160.07121254719667</v>
      </c>
      <c r="D52" s="22">
        <f t="shared" si="28"/>
        <v>156.57121254719667</v>
      </c>
      <c r="E52" s="22">
        <f t="shared" si="28"/>
        <v>156.98121254719666</v>
      </c>
      <c r="F52" s="22">
        <f t="shared" si="28"/>
        <v>147.82121254719667</v>
      </c>
      <c r="G52" s="76">
        <f t="shared" si="28"/>
        <v>167.46121254719668</v>
      </c>
      <c r="H52" s="76">
        <f t="shared" ref="H52:I52" si="29">H25+H30+H33-H34-H50</f>
        <v>161.15121254719668</v>
      </c>
      <c r="I52" s="76">
        <f t="shared" si="29"/>
        <v>157.19121254719667</v>
      </c>
      <c r="J52" s="22">
        <f>J25+J30+J33-J34-J50</f>
        <v>164.66121254719667</v>
      </c>
      <c r="K52" s="22">
        <f t="shared" ref="K52:O52" si="30">K25+K30+K33-K34-K50</f>
        <v>159.17121254719666</v>
      </c>
      <c r="L52" s="22">
        <f t="shared" si="30"/>
        <v>155.47121254719667</v>
      </c>
      <c r="M52" s="22">
        <f t="shared" si="30"/>
        <v>157.62190068970608</v>
      </c>
      <c r="N52" s="22">
        <f t="shared" si="30"/>
        <v>151.94190068970607</v>
      </c>
      <c r="O52" s="22">
        <f t="shared" si="30"/>
        <v>148.7219006897061</v>
      </c>
      <c r="P52" s="22">
        <f>P25+P30+P33-P34-P50</f>
        <v>166.27121254719668</v>
      </c>
      <c r="Q52" s="22">
        <f t="shared" ref="Q52:R52" si="31">Q25+Q30+Q33-Q34-Q50</f>
        <v>160.77121254719668</v>
      </c>
      <c r="R52" s="22">
        <f t="shared" si="31"/>
        <v>157.62121254719665</v>
      </c>
      <c r="S52" s="22">
        <f>S25+S30+S33-S34-S50</f>
        <v>164.77121254719668</v>
      </c>
      <c r="T52" s="22">
        <f t="shared" ref="T52:U52" si="32">T25+T30+T33-T34-T50</f>
        <v>158.97121254719667</v>
      </c>
      <c r="U52" s="22">
        <f t="shared" si="32"/>
        <v>156.37121254719665</v>
      </c>
      <c r="V52" s="22">
        <f>V25+V30+V33-V34-V50</f>
        <v>168.31040090650703</v>
      </c>
      <c r="W52" s="22">
        <f t="shared" ref="W52:X52" si="33">W25+W30+W33-W34-W50</f>
        <v>162.51040090650702</v>
      </c>
      <c r="X52" s="22">
        <f t="shared" si="33"/>
        <v>158.51040090650702</v>
      </c>
    </row>
    <row r="53" spans="1:24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</row>
    <row r="54" spans="1:24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</row>
    <row r="56" spans="1:24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</row>
    <row r="57" spans="1:24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</row>
    <row r="58" spans="1:24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</row>
    <row r="59" spans="1:24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</row>
    <row r="60" spans="1:24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</row>
    <row r="61" spans="1:24" ht="30">
      <c r="A61" s="21" t="s">
        <v>108</v>
      </c>
      <c r="B61" s="22">
        <f t="shared" ref="B61:G61" si="34">B52-B56+B58-B59+B60</f>
        <v>132.06121254719665</v>
      </c>
      <c r="C61" s="22">
        <f t="shared" si="34"/>
        <v>126.26121254719666</v>
      </c>
      <c r="D61" s="22">
        <f t="shared" si="34"/>
        <v>122.76121254719666</v>
      </c>
      <c r="E61" s="22">
        <f t="shared" si="34"/>
        <v>123.17121254719666</v>
      </c>
      <c r="F61" s="22">
        <f t="shared" si="34"/>
        <v>114.01121254719666</v>
      </c>
      <c r="G61" s="76">
        <f t="shared" si="34"/>
        <v>133.65121254719668</v>
      </c>
      <c r="H61" s="76">
        <f t="shared" ref="H61:I61" si="35">H52-H56+H58-H59+H60</f>
        <v>127.34121254719668</v>
      </c>
      <c r="I61" s="76">
        <f t="shared" si="35"/>
        <v>123.38121254719667</v>
      </c>
      <c r="J61" s="22">
        <f>J52-J56+J58-J59+J60</f>
        <v>130.85121254719667</v>
      </c>
      <c r="K61" s="22">
        <f t="shared" ref="K61:O61" si="36">K52-K56+K58-K59+K60</f>
        <v>125.36121254719666</v>
      </c>
      <c r="L61" s="22">
        <f t="shared" si="36"/>
        <v>121.66121254719667</v>
      </c>
      <c r="M61" s="22">
        <f t="shared" si="36"/>
        <v>123.81190068970608</v>
      </c>
      <c r="N61" s="22">
        <f t="shared" si="36"/>
        <v>118.13190068970607</v>
      </c>
      <c r="O61" s="22">
        <f t="shared" si="36"/>
        <v>114.9119006897061</v>
      </c>
      <c r="P61" s="22">
        <f>P52-P56+P58-P59+P60</f>
        <v>132.46121254719668</v>
      </c>
      <c r="Q61" s="22">
        <f t="shared" ref="Q61:R61" si="37">Q52-Q56+Q58-Q59+Q60</f>
        <v>126.96121254719668</v>
      </c>
      <c r="R61" s="22">
        <f t="shared" si="37"/>
        <v>123.81121254719665</v>
      </c>
      <c r="S61" s="22">
        <f>S52-S56+S58-S59+S60</f>
        <v>130.96121254719668</v>
      </c>
      <c r="T61" s="22">
        <f t="shared" ref="T61:U61" si="38">T52-T56+T58-T59+T60</f>
        <v>125.16121254719667</v>
      </c>
      <c r="U61" s="22">
        <f t="shared" si="38"/>
        <v>122.56121254719665</v>
      </c>
      <c r="V61" s="22">
        <f>V52-V56+V58-V59+V60</f>
        <v>134.48040090650701</v>
      </c>
      <c r="W61" s="22">
        <f t="shared" ref="W61:X61" si="39">W52-W56+W58-W59+W60</f>
        <v>128.680400906507</v>
      </c>
      <c r="X61" s="22">
        <f t="shared" si="39"/>
        <v>124.680400906507</v>
      </c>
    </row>
    <row r="62" spans="1:24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</row>
    <row r="63" spans="1:24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</row>
    <row r="64" spans="1:24" ht="15">
      <c r="A64" s="21" t="s">
        <v>97</v>
      </c>
      <c r="B64" s="22">
        <f t="shared" ref="B64:I64" si="40">B17+B22-B50+B21+B33</f>
        <v>157.10000000000002</v>
      </c>
      <c r="C64" s="22">
        <f t="shared" si="40"/>
        <v>154.30000000000004</v>
      </c>
      <c r="D64" s="22">
        <f t="shared" si="40"/>
        <v>150.80000000000004</v>
      </c>
      <c r="E64" s="22">
        <f t="shared" si="40"/>
        <v>151.16000000000005</v>
      </c>
      <c r="F64" s="22">
        <f t="shared" si="40"/>
        <v>145.00000000000006</v>
      </c>
      <c r="G64" s="76">
        <f t="shared" si="40"/>
        <v>158.69000000000003</v>
      </c>
      <c r="H64" s="76">
        <f t="shared" si="40"/>
        <v>155.38000000000002</v>
      </c>
      <c r="I64" s="76">
        <f t="shared" si="40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41">M17+M22-M50+M21+M33</f>
        <v>151.50068814250946</v>
      </c>
      <c r="N64" s="22">
        <f t="shared" si="41"/>
        <v>148.82068814250945</v>
      </c>
      <c r="O64" s="22">
        <f t="shared" si="41"/>
        <v>145.60068814250945</v>
      </c>
      <c r="P64" s="22">
        <f t="shared" ref="P64:U64" si="42">P17+P22-P50+P21+P33</f>
        <v>157.50000000000003</v>
      </c>
      <c r="Q64" s="22">
        <f t="shared" si="42"/>
        <v>155.00000000000003</v>
      </c>
      <c r="R64" s="22">
        <f t="shared" si="42"/>
        <v>151.85000000000002</v>
      </c>
      <c r="S64" s="22">
        <f t="shared" si="42"/>
        <v>156.00000000000003</v>
      </c>
      <c r="T64" s="22">
        <f t="shared" si="42"/>
        <v>153.20000000000005</v>
      </c>
      <c r="U64" s="22">
        <f t="shared" si="42"/>
        <v>150.60000000000002</v>
      </c>
      <c r="V64" s="22">
        <f>V17+V22-V50+V21+V33</f>
        <v>159.5391883593104</v>
      </c>
      <c r="W64" s="22">
        <f>W17+W22-W50+W21+W33</f>
        <v>156.73918835931042</v>
      </c>
      <c r="X64" s="22">
        <f>X17+X22-X50+X21+X33</f>
        <v>152.73918835931042</v>
      </c>
    </row>
    <row r="65" spans="1:24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f0c1c198-6772-4070-9fed-c99b54821fd3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aa248ac-567e-4f8a-83ad-95641c120e6c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Ratasuk, Rapeepat (Nokia - US/Arlington Heights)</cp:lastModifiedBy>
  <cp:lastPrinted>2006-01-19T03:50:00Z</cp:lastPrinted>
  <dcterms:created xsi:type="dcterms:W3CDTF">2003-11-11T03:59:00Z</dcterms:created>
  <dcterms:modified xsi:type="dcterms:W3CDTF">2020-10-20T21:36:38Z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