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31" windowWidth="15075" windowHeight="8910" firstSheet="2" activeTab="2"/>
  </bookViews>
  <sheets>
    <sheet name="BUDGET 2001" sheetId="1" r:id="rId1"/>
    <sheet name="Table 1" sheetId="2" r:id="rId2"/>
    <sheet name="Table 2" sheetId="3" r:id="rId3"/>
    <sheet name="Table 2 MCC only" sheetId="4" r:id="rId4"/>
    <sheet name="Table 3" sheetId="5" r:id="rId5"/>
    <sheet name="Salaries Dpt" sheetId="6" r:id="rId6"/>
    <sheet name="Travel Dpt" sheetId="7" r:id="rId7"/>
    <sheet name="SMS Alloc" sheetId="8" r:id="rId8"/>
    <sheet name="CPM Alloc" sheetId="9" r:id="rId9"/>
    <sheet name="M&amp;D Alloc" sheetId="10" r:id="rId10"/>
    <sheet name="MCC Allocation" sheetId="11" r:id="rId11"/>
    <sheet name="in draft Budget" sheetId="12" r:id="rId12"/>
  </sheets>
  <externalReferences>
    <externalReference r:id="rId15"/>
  </externalReferences>
  <definedNames>
    <definedName name="_xlnm.Print_Area" localSheetId="0">'BUDGET 2001'!$A$1:$N$116</definedName>
    <definedName name="_xlnm.Print_Area" localSheetId="11">'in draft Budget'!$A$1:$S$54</definedName>
    <definedName name="_xlnm.Print_Area" localSheetId="10">'MCC Allocation'!$A$1:$X$54</definedName>
    <definedName name="_xlnm.Print_Area" localSheetId="5">'Salaries Dpt'!$A$1:$G$16</definedName>
    <definedName name="_xlnm.Print_Area" localSheetId="7">'SMS Alloc'!$A$1:$AE$14</definedName>
    <definedName name="_xlnm.Print_Area" localSheetId="1">'Table 1'!$A$1:$AX$52</definedName>
    <definedName name="_xlnm.Print_Area" localSheetId="2">'Table 2'!$A$1:$Y$54</definedName>
    <definedName name="_xlnm.Print_Area" localSheetId="3">'Table 2 MCC only'!$A$1:$Y$54</definedName>
    <definedName name="_xlnm.Print_Titles" localSheetId="1">'Table 1'!$A:$A</definedName>
    <definedName name="Z_4EEEEE82_6A73_11D3_92D4_00104BA708B0_.wvu.Cols" localSheetId="0" hidden="1">'BUDGET 2001'!#REF!</definedName>
    <definedName name="Z_4EEEEE82_6A73_11D3_92D4_00104BA708B0_.wvu.PrintArea" localSheetId="0" hidden="1">'BUDGET 2001'!$K$1:$M$176</definedName>
    <definedName name="Z_4EEEEE82_6A73_11D3_92D4_00104BA708B0_.wvu.Rows" localSheetId="0" hidden="1">'BUDGET 2001'!$6:$10,'BUDGET 2001'!$11:$15,'BUDGET 2001'!$17:$18,'BUDGET 2001'!#REF!,'BUDGET 2001'!$42:$57,'BUDGET 2001'!$62:$74,'BUDGET 2001'!$84:$94,'BUDGET 2001'!$101:$104,'BUDGET 2001'!$109:$114,'BUDGET 2001'!$116:$119,'BUDGET 2001'!$122:$123,'BUDGET 2001'!$125:$129,'BUDGET 2001'!$131:$132,'BUDGET 2001'!$141:$147,'BUDGET 2001'!$152:$155</definedName>
    <definedName name="Z_4EEEEE83_6A73_11D3_92D4_00104BA708B0_.wvu.Cols" localSheetId="0" hidden="1">'BUDGET 2001'!$J:$J</definedName>
    <definedName name="Z_4EEEEE83_6A73_11D3_92D4_00104BA708B0_.wvu.PrintArea" localSheetId="0" hidden="1">'BUDGET 2001'!$K$1:$M$176</definedName>
    <definedName name="Z_4EEEEE83_6A73_11D3_92D4_00104BA708B0_.wvu.Rows" localSheetId="0" hidden="1">'BUDGET 2001'!$6:$10,'BUDGET 2001'!$11:$15,'BUDGET 2001'!$17:$18,'BUDGET 2001'!#REF!,'BUDGET 2001'!$42:$57,'BUDGET 2001'!$62:$74,'BUDGET 2001'!$84:$94,'BUDGET 2001'!$101:$104,'BUDGET 2001'!$109:$114,'BUDGET 2001'!$116:$119,'BUDGET 2001'!$122:$123,'BUDGET 2001'!$125:$129,'BUDGET 2001'!$131:$132,'BUDGET 2001'!$141:$147,'BUDGET 2001'!$152:$155</definedName>
  </definedNames>
  <calcPr fullCalcOnLoad="1"/>
</workbook>
</file>

<file path=xl/comments1.xml><?xml version="1.0" encoding="utf-8"?>
<comments xmlns="http://schemas.openxmlformats.org/spreadsheetml/2006/main">
  <authors>
    <author>Wil Dekkers</author>
  </authors>
  <commentList>
    <comment ref="G11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income added for 6+12+10 mm carried forward</t>
        </r>
      </text>
    </comment>
    <comment ref="C41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- tax on salary '99:18 k€
</t>
        </r>
      </text>
    </comment>
    <comment ref="C50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- gains de changes: 13 k€
</t>
        </r>
      </text>
    </comment>
    <comment ref="M46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+ 2 secretaries SMS
-1 S (JP)
-1 O (JMB)
</t>
        </r>
      </text>
    </comment>
    <comment ref="M96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280 planned 
80 2000 contingency
</t>
        </r>
      </text>
    </comment>
  </commentList>
</comments>
</file>

<file path=xl/comments11.xml><?xml version="1.0" encoding="utf-8"?>
<comments xmlns="http://schemas.openxmlformats.org/spreadsheetml/2006/main">
  <authors>
    <author>Wil Dekkers</author>
  </authors>
  <commentList>
    <comment ref="L6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Free Experts, recalled for Overhead Allocation</t>
        </r>
      </text>
    </comment>
    <comment ref="M6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2 FreeExperts, recalled for Overhead Allocation
</t>
        </r>
      </text>
    </comment>
  </commentList>
</comments>
</file>

<file path=xl/comments3.xml><?xml version="1.0" encoding="utf-8"?>
<comments xmlns="http://schemas.openxmlformats.org/spreadsheetml/2006/main">
  <authors>
    <author>Wil Dekkers</author>
  </authors>
  <commentList>
    <comment ref="L6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2 FreeExperts, recalled for Overhead Allocation
</t>
        </r>
      </text>
    </comment>
  </commentList>
</comments>
</file>

<file path=xl/comments4.xml><?xml version="1.0" encoding="utf-8"?>
<comments xmlns="http://schemas.openxmlformats.org/spreadsheetml/2006/main">
  <authors>
    <author>Wil Dekkers</author>
  </authors>
  <commentList>
    <comment ref="L6" authorId="0">
      <text>
        <r>
          <rPr>
            <b/>
            <sz val="8"/>
            <rFont val="Tahoma"/>
            <family val="0"/>
          </rPr>
          <t>Wil Dekkers:</t>
        </r>
        <r>
          <rPr>
            <sz val="8"/>
            <rFont val="Tahoma"/>
            <family val="0"/>
          </rPr>
          <t xml:space="preserve">
2 FreeExperts, recalled for Overhead Allocation
</t>
        </r>
      </text>
    </comment>
  </commentList>
</comments>
</file>

<file path=xl/comments8.xml><?xml version="1.0" encoding="utf-8"?>
<comments xmlns="http://schemas.openxmlformats.org/spreadsheetml/2006/main">
  <authors>
    <author>Graham Rose</author>
  </authors>
  <commentList>
    <comment ref="A15" authorId="0">
      <text>
        <r>
          <rPr>
            <b/>
            <sz val="11"/>
            <rFont val="Tahoma"/>
            <family val="2"/>
          </rPr>
          <t>=remaining time not spent directly on TB support</t>
        </r>
      </text>
    </comment>
  </commentList>
</comments>
</file>

<file path=xl/sharedStrings.xml><?xml version="1.0" encoding="utf-8"?>
<sst xmlns="http://schemas.openxmlformats.org/spreadsheetml/2006/main" count="941" uniqueCount="506">
  <si>
    <t>Technical Body</t>
  </si>
  <si>
    <t>TIPHON</t>
  </si>
  <si>
    <t>SPAN</t>
  </si>
  <si>
    <t>ERM</t>
  </si>
  <si>
    <t>MTS</t>
  </si>
  <si>
    <t>HF</t>
  </si>
  <si>
    <t>DECT</t>
  </si>
  <si>
    <t>TM</t>
  </si>
  <si>
    <t>TETRA</t>
  </si>
  <si>
    <t>BRAN</t>
  </si>
  <si>
    <t>SEC</t>
  </si>
  <si>
    <t>SES</t>
  </si>
  <si>
    <t>R&amp;TT Dir</t>
  </si>
  <si>
    <t>Broadcast</t>
  </si>
  <si>
    <t>TMN</t>
  </si>
  <si>
    <t>PLT</t>
  </si>
  <si>
    <t>ECMA</t>
  </si>
  <si>
    <t>EE</t>
  </si>
  <si>
    <t>STQ</t>
  </si>
  <si>
    <t>AT</t>
  </si>
  <si>
    <t>Safety</t>
  </si>
  <si>
    <t>User</t>
  </si>
  <si>
    <t>JEEC</t>
  </si>
  <si>
    <t>SAGE</t>
  </si>
  <si>
    <t>UMTS</t>
  </si>
  <si>
    <t>TOTAL FWP</t>
  </si>
  <si>
    <t>MCC/3GPP</t>
  </si>
  <si>
    <t>PTCC</t>
  </si>
  <si>
    <t>IT Services</t>
  </si>
  <si>
    <t>Housing</t>
  </si>
  <si>
    <t>Directorate</t>
  </si>
  <si>
    <t>Administration</t>
  </si>
  <si>
    <t>M&amp;D ETSAG</t>
  </si>
  <si>
    <t>CPM Coordination</t>
  </si>
  <si>
    <t xml:space="preserve"> Meeting Support</t>
  </si>
  <si>
    <t>M&amp;D Institute</t>
  </si>
  <si>
    <t>M&amp;D Publications</t>
  </si>
  <si>
    <t>Bake-Off</t>
  </si>
  <si>
    <t>Full year 1999</t>
  </si>
  <si>
    <t>% 6 months 2000   vs. Full year 1999</t>
  </si>
  <si>
    <t>Comment</t>
  </si>
  <si>
    <t>Subcontracts</t>
  </si>
  <si>
    <t>Subcontractors</t>
  </si>
  <si>
    <t>Salary Costs SMS</t>
  </si>
  <si>
    <t>Salary Costs Other Departments</t>
  </si>
  <si>
    <t>salaries Secretariat</t>
  </si>
  <si>
    <t>(Experts) Travel</t>
  </si>
  <si>
    <t>Travel Costs SMS</t>
  </si>
  <si>
    <t>Travel Other Departments</t>
  </si>
  <si>
    <t>Travel</t>
  </si>
  <si>
    <t xml:space="preserve">Contingencies </t>
  </si>
  <si>
    <t>EC Special projects</t>
  </si>
  <si>
    <t>Promotional Activities</t>
  </si>
  <si>
    <t>Meetings &amp; Hospitality</t>
  </si>
  <si>
    <t>Professional Fees</t>
  </si>
  <si>
    <t>Depreciation</t>
  </si>
  <si>
    <t>Maintenance</t>
  </si>
  <si>
    <t>Rent</t>
  </si>
  <si>
    <t>Utilities</t>
  </si>
  <si>
    <t>Office Supplies &amp; Repro</t>
  </si>
  <si>
    <t>Other Expenses</t>
  </si>
  <si>
    <t>Outsourced Systems Development</t>
  </si>
  <si>
    <t>Total other costs</t>
  </si>
  <si>
    <t>Total Primary Costs</t>
  </si>
  <si>
    <t>Specific funding*</t>
  </si>
  <si>
    <t>EC/EFTA</t>
  </si>
  <si>
    <t>3GPP</t>
  </si>
  <si>
    <t>Voluntary Members</t>
  </si>
  <si>
    <t>Total specific funding</t>
  </si>
  <si>
    <t>Balance</t>
  </si>
  <si>
    <t>Functional Cost centers</t>
  </si>
  <si>
    <t>Expense &amp; Funding Categories</t>
  </si>
  <si>
    <t>FWP</t>
  </si>
  <si>
    <t>Meeting support</t>
  </si>
  <si>
    <t>Total functional Costs / Funding</t>
  </si>
  <si>
    <t>Primary Costs</t>
  </si>
  <si>
    <t>Salaries</t>
  </si>
  <si>
    <t>Salaries Contractors</t>
  </si>
  <si>
    <t>Depreciation (IT equipment, furniture)</t>
  </si>
  <si>
    <t>Office supplies and repro</t>
  </si>
  <si>
    <t>Advertising &amp; Promotion</t>
  </si>
  <si>
    <t>Meetings &amp; hospitality</t>
  </si>
  <si>
    <t>EC special projects</t>
  </si>
  <si>
    <t>Services third</t>
  </si>
  <si>
    <t>Other expenses</t>
  </si>
  <si>
    <t>Total Primary costs</t>
  </si>
  <si>
    <t>Total costs</t>
  </si>
  <si>
    <t>Specific funding</t>
  </si>
  <si>
    <t>Voluntary members funding</t>
  </si>
  <si>
    <t>EC / EFTA contracts</t>
  </si>
  <si>
    <t>Comparison with full year 1999</t>
  </si>
  <si>
    <t>Functional Cost Centers</t>
  </si>
  <si>
    <t>UO FWP</t>
  </si>
  <si>
    <t>voyages</t>
  </si>
  <si>
    <t>UO PTCC</t>
  </si>
  <si>
    <t>Bake-off</t>
  </si>
  <si>
    <t>Total cost per Standardization Area</t>
  </si>
  <si>
    <t>% total costs</t>
  </si>
  <si>
    <t>net cost</t>
  </si>
  <si>
    <t>%net cost</t>
  </si>
  <si>
    <t>1999 Total costs</t>
  </si>
  <si>
    <t>% 6 months 2000 vs. Year 1999</t>
  </si>
  <si>
    <t>net cost 1999</t>
  </si>
  <si>
    <t>% 6 months 2000 vs. Year 2001</t>
  </si>
  <si>
    <t>Total per FCC</t>
  </si>
  <si>
    <t>GENERAL</t>
  </si>
  <si>
    <t>STANDARDS FOCUS AREAS</t>
  </si>
  <si>
    <t xml:space="preserve">3GPP </t>
  </si>
  <si>
    <t>*</t>
  </si>
  <si>
    <t>Other Mobile Systems</t>
  </si>
  <si>
    <t xml:space="preserve">Sub-total </t>
  </si>
  <si>
    <t>Fixed</t>
  </si>
  <si>
    <t>ECMA TC32</t>
  </si>
  <si>
    <t>Sub-total Fixed</t>
  </si>
  <si>
    <t>Internet</t>
  </si>
  <si>
    <t>Tiphon</t>
  </si>
  <si>
    <t>Regulatory</t>
  </si>
  <si>
    <t>R&amp;TT Dir.</t>
  </si>
  <si>
    <t>Sub-total Reg.</t>
  </si>
  <si>
    <t>Quality, Safety and Security</t>
  </si>
  <si>
    <t>Sage</t>
  </si>
  <si>
    <t>Horizontal competence</t>
  </si>
  <si>
    <t>USER</t>
  </si>
  <si>
    <t>Total</t>
  </si>
  <si>
    <t>* 3GPP specific funding includes full year partners contribution</t>
  </si>
  <si>
    <t>SCP</t>
  </si>
  <si>
    <t>MSG</t>
  </si>
  <si>
    <t>PSPP</t>
  </si>
  <si>
    <t>SEC_ANA</t>
  </si>
  <si>
    <t>1</t>
  </si>
  <si>
    <t>2</t>
  </si>
  <si>
    <t>1st H</t>
  </si>
  <si>
    <t/>
  </si>
  <si>
    <t xml:space="preserve">DCPM         </t>
  </si>
  <si>
    <t xml:space="preserve">DDIR         </t>
  </si>
  <si>
    <t xml:space="preserve">DFAS         </t>
  </si>
  <si>
    <t xml:space="preserve">DMD          </t>
  </si>
  <si>
    <t xml:space="preserve">DSMS         </t>
  </si>
  <si>
    <t xml:space="preserve">MISC         </t>
  </si>
  <si>
    <t>STMCC</t>
  </si>
  <si>
    <t>STPTCC</t>
  </si>
  <si>
    <t>k€</t>
  </si>
  <si>
    <t xml:space="preserve">CCAGR        </t>
  </si>
  <si>
    <t xml:space="preserve">CCAHC        </t>
  </si>
  <si>
    <t xml:space="preserve">CCDIS        </t>
  </si>
  <si>
    <t xml:space="preserve">CCDIS00      </t>
  </si>
  <si>
    <t xml:space="preserve">CCGEN        </t>
  </si>
  <si>
    <t xml:space="preserve">CCVIS        </t>
  </si>
  <si>
    <t xml:space="preserve">SPDNC        </t>
  </si>
  <si>
    <t xml:space="preserve">STOTHERST    </t>
  </si>
  <si>
    <t>Team</t>
  </si>
  <si>
    <t>TOTAL</t>
  </si>
  <si>
    <t>TAS</t>
  </si>
  <si>
    <t>Salary Costs</t>
  </si>
  <si>
    <t>TPS</t>
  </si>
  <si>
    <t>EDM</t>
  </si>
  <si>
    <t>Total SMS Allocation</t>
  </si>
  <si>
    <t>TB support from EDM, TAS and TPS from 1st Jan 1999 to 31Dec 1999</t>
  </si>
  <si>
    <t>CPM</t>
  </si>
  <si>
    <t>FWP Experts</t>
  </si>
  <si>
    <t>PTCC Experts</t>
  </si>
  <si>
    <t>Total Experts</t>
  </si>
  <si>
    <t>Experts Travel</t>
  </si>
  <si>
    <t>PEX Experts days</t>
  </si>
  <si>
    <t>PEX Experts kEURO</t>
  </si>
  <si>
    <t>PEX Travel</t>
  </si>
  <si>
    <t>Total CPM Allocation</t>
  </si>
  <si>
    <t>Dept</t>
  </si>
  <si>
    <t>Ysal</t>
  </si>
  <si>
    <t>LASTNAME</t>
  </si>
  <si>
    <t xml:space="preserve">CE </t>
  </si>
  <si>
    <t>Nocentini</t>
  </si>
  <si>
    <t>Sum Of Ysal:</t>
  </si>
  <si>
    <t xml:space="preserve">CPM </t>
  </si>
  <si>
    <t>Jouan</t>
  </si>
  <si>
    <t>Guédon</t>
  </si>
  <si>
    <t>Rihet</t>
  </si>
  <si>
    <t>Voulgre</t>
  </si>
  <si>
    <t>Guinet</t>
  </si>
  <si>
    <t>Bopp</t>
  </si>
  <si>
    <t>Luther</t>
  </si>
  <si>
    <t>Zoric</t>
  </si>
  <si>
    <t>Mulligan</t>
  </si>
  <si>
    <t>Wiles</t>
  </si>
  <si>
    <t>Ochel</t>
  </si>
  <si>
    <t>Hu</t>
  </si>
  <si>
    <t>Craik</t>
  </si>
  <si>
    <t>Berrini</t>
  </si>
  <si>
    <t>Chauvel</t>
  </si>
  <si>
    <t xml:space="preserve">DIR </t>
  </si>
  <si>
    <t>Lancry</t>
  </si>
  <si>
    <t>Tarroux</t>
  </si>
  <si>
    <t>Tronchon</t>
  </si>
  <si>
    <t>Rosu Lunguran</t>
  </si>
  <si>
    <t>Grison</t>
  </si>
  <si>
    <t>Smith</t>
  </si>
  <si>
    <t>Scholl</t>
  </si>
  <si>
    <t>Pritchard</t>
  </si>
  <si>
    <t>Cosgrave</t>
  </si>
  <si>
    <t>Rosenbrock</t>
  </si>
  <si>
    <t xml:space="preserve">FAS </t>
  </si>
  <si>
    <t>Cohen</t>
  </si>
  <si>
    <t>Rudel</t>
  </si>
  <si>
    <t>Girard</t>
  </si>
  <si>
    <t>Singer</t>
  </si>
  <si>
    <t>Beauvois</t>
  </si>
  <si>
    <t>Moss-Derrieux</t>
  </si>
  <si>
    <t>Diaz</t>
  </si>
  <si>
    <t>Poulain</t>
  </si>
  <si>
    <t>Denneulin</t>
  </si>
  <si>
    <t>Rodriguez</t>
  </si>
  <si>
    <t>Carlier</t>
  </si>
  <si>
    <t>Castelli</t>
  </si>
  <si>
    <t>Volnay</t>
  </si>
  <si>
    <t>Gleizes</t>
  </si>
  <si>
    <t>Henry-Lepaute</t>
  </si>
  <si>
    <t>Ebenezersson</t>
  </si>
  <si>
    <t>Georges</t>
  </si>
  <si>
    <t>Laurent</t>
  </si>
  <si>
    <t>Maurin</t>
  </si>
  <si>
    <t>Ayache</t>
  </si>
  <si>
    <t>Lowerison</t>
  </si>
  <si>
    <t>Ghigo</t>
  </si>
  <si>
    <t>Freisse</t>
  </si>
  <si>
    <t>Verdy</t>
  </si>
  <si>
    <t>Cursoux</t>
  </si>
  <si>
    <t>Cerdan</t>
  </si>
  <si>
    <t>Guillemin</t>
  </si>
  <si>
    <t>Mc Auley</t>
  </si>
  <si>
    <t>Dugenne</t>
  </si>
  <si>
    <t>Dekkers</t>
  </si>
  <si>
    <t>de Courcel</t>
  </si>
  <si>
    <t xml:space="preserve">M&amp;D </t>
  </si>
  <si>
    <t>Vincent</t>
  </si>
  <si>
    <t>Magnani</t>
  </si>
  <si>
    <t>Gray</t>
  </si>
  <si>
    <t>Flynn</t>
  </si>
  <si>
    <t>Kounakoff</t>
  </si>
  <si>
    <t>Pontieux</t>
  </si>
  <si>
    <t>Chenard</t>
  </si>
  <si>
    <t>Stoyanov</t>
  </si>
  <si>
    <t>Scheffer</t>
  </si>
  <si>
    <t>Hasselgren</t>
  </si>
  <si>
    <t>Reid</t>
  </si>
  <si>
    <t>Corbett</t>
  </si>
  <si>
    <t xml:space="preserve">MCC </t>
  </si>
  <si>
    <t>Forina</t>
  </si>
  <si>
    <t>Hughes</t>
  </si>
  <si>
    <t>Wurffel</t>
  </si>
  <si>
    <t>Ravoire</t>
  </si>
  <si>
    <t>Kooistra</t>
  </si>
  <si>
    <t>Boswarthick</t>
  </si>
  <si>
    <t>Zoicas</t>
  </si>
  <si>
    <t>Meredith</t>
  </si>
  <si>
    <t>Pope</t>
  </si>
  <si>
    <t>Scrase</t>
  </si>
  <si>
    <t xml:space="preserve">SMS </t>
  </si>
  <si>
    <t>Churchill</t>
  </si>
  <si>
    <t>Chastanet</t>
  </si>
  <si>
    <t>Lavigne</t>
  </si>
  <si>
    <t>Dedola</t>
  </si>
  <si>
    <t>Mancini</t>
  </si>
  <si>
    <t>Bizet</t>
  </si>
  <si>
    <t>Parlatano</t>
  </si>
  <si>
    <t>van Tricht</t>
  </si>
  <si>
    <t>Schmidt</t>
  </si>
  <si>
    <t>Martin</t>
  </si>
  <si>
    <t>Florival</t>
  </si>
  <si>
    <t>Dahmen-Lhuissier</t>
  </si>
  <si>
    <t>d'Esclercs</t>
  </si>
  <si>
    <t>Tschang</t>
  </si>
  <si>
    <t>Laverack</t>
  </si>
  <si>
    <t>Vreck</t>
  </si>
  <si>
    <t>Mattsson</t>
  </si>
  <si>
    <t>Kiacz</t>
  </si>
  <si>
    <t>Pagnozzi</t>
  </si>
  <si>
    <t>Rasilainen</t>
  </si>
  <si>
    <t>Sharpe</t>
  </si>
  <si>
    <t>Rose</t>
  </si>
  <si>
    <t>Julien</t>
  </si>
  <si>
    <t>Strandberg</t>
  </si>
  <si>
    <t>Support</t>
  </si>
  <si>
    <t>Overhead</t>
  </si>
  <si>
    <t>PEX</t>
  </si>
  <si>
    <t>Coordination</t>
  </si>
  <si>
    <t>€</t>
  </si>
  <si>
    <t>Corrected Ysal CPM:</t>
  </si>
  <si>
    <t>Corrected Ysal PEX:</t>
  </si>
  <si>
    <t>Sum Of Ysal CPM:</t>
  </si>
  <si>
    <t>Sum Of Ysal PEX:</t>
  </si>
  <si>
    <t>Allocation to:</t>
  </si>
  <si>
    <t>CPM +PEX without Overhead</t>
  </si>
  <si>
    <t>Sum Of Ysal DIR:</t>
  </si>
  <si>
    <t>Corrected Ysal DIR:</t>
  </si>
  <si>
    <t>s</t>
  </si>
  <si>
    <t>m</t>
  </si>
  <si>
    <t>a</t>
  </si>
  <si>
    <t>o</t>
  </si>
  <si>
    <t>Sum Of Ysal FAS:</t>
  </si>
  <si>
    <t>Corrected Ysal FAS:</t>
  </si>
  <si>
    <t>FAS without Overhead</t>
  </si>
  <si>
    <t>Trotta</t>
  </si>
  <si>
    <t>Vacancy</t>
  </si>
  <si>
    <t>Sum Of Ysal SMS:</t>
  </si>
  <si>
    <t>Corrected Ysal SMS:</t>
  </si>
  <si>
    <t>SMS without Overhead</t>
  </si>
  <si>
    <t>Mera 2/3</t>
  </si>
  <si>
    <t>Mera 1/3</t>
  </si>
  <si>
    <t>M-Commerce</t>
  </si>
  <si>
    <t>For a Hosting</t>
  </si>
  <si>
    <t>Total EDM</t>
  </si>
  <si>
    <t>Total TAS</t>
  </si>
  <si>
    <t>Total TPS</t>
  </si>
  <si>
    <t>R&amp;TT Directive</t>
  </si>
  <si>
    <t>OCG R&amp;TT</t>
  </si>
  <si>
    <t>Total Systems</t>
  </si>
  <si>
    <t>Total Admin</t>
  </si>
  <si>
    <t>Total Meetings Support</t>
  </si>
  <si>
    <t>DRAFT Y2001 BUDGET</t>
  </si>
  <si>
    <t>REALISATION</t>
  </si>
  <si>
    <t>Remainder</t>
  </si>
  <si>
    <t>INCOME</t>
  </si>
  <si>
    <t>Actual</t>
  </si>
  <si>
    <t>YE Forecast</t>
  </si>
  <si>
    <t>As Approved</t>
  </si>
  <si>
    <t>Proposed</t>
  </si>
  <si>
    <t>Statutory Contributions</t>
  </si>
  <si>
    <t>-Members</t>
  </si>
  <si>
    <t>Total Members Funding</t>
  </si>
  <si>
    <t>Observer Fees</t>
  </si>
  <si>
    <t>-EC/EFTA Funding</t>
  </si>
  <si>
    <t>-MembersVoluntary Funding</t>
  </si>
  <si>
    <t>Total Voluntary Funding</t>
  </si>
  <si>
    <t>STANDARDS</t>
  </si>
  <si>
    <t>ALGORITHMS</t>
  </si>
  <si>
    <t>Sales Standards</t>
  </si>
  <si>
    <t>Capital Income</t>
  </si>
  <si>
    <t>Other Income</t>
  </si>
  <si>
    <t>1998 Provisions for Risks and Charges</t>
  </si>
  <si>
    <t>Contingencies</t>
  </si>
  <si>
    <t>Deferred Income:</t>
  </si>
  <si>
    <t>STF Carry-Overs from Next Year</t>
  </si>
  <si>
    <t>STF Carry-Overs to Next Year</t>
  </si>
  <si>
    <t xml:space="preserve">Total Income </t>
  </si>
  <si>
    <t>EXPENDITURE</t>
  </si>
  <si>
    <t>Current Normal Expenditure</t>
  </si>
  <si>
    <t>Secretariat ( without MCC/PTCC)</t>
  </si>
  <si>
    <t>[No.of Secretariat staff: Man years]</t>
  </si>
  <si>
    <t xml:space="preserve">  -    Staff costs: Current costs</t>
  </si>
  <si>
    <t xml:space="preserve">  -    Depreciation</t>
  </si>
  <si>
    <t xml:space="preserve">  Contingencies (Core)</t>
  </si>
  <si>
    <t xml:space="preserve">  Contingencies (Bake-Off)</t>
  </si>
  <si>
    <t xml:space="preserve">  Contingencies (35 h/week)</t>
  </si>
  <si>
    <t>TOTAL Headquarter</t>
  </si>
  <si>
    <t>Direct Costs Competence Centres</t>
  </si>
  <si>
    <t xml:space="preserve">  -     Staff in Support Team</t>
  </si>
  <si>
    <t xml:space="preserve">  -     Travel</t>
  </si>
  <si>
    <t xml:space="preserve">  -     Other</t>
  </si>
  <si>
    <t xml:space="preserve">  -     Contingencies</t>
  </si>
  <si>
    <t>TOTAL MCC</t>
  </si>
  <si>
    <t xml:space="preserve">  -      PEX staff</t>
  </si>
  <si>
    <t xml:space="preserve">  -      Travel</t>
  </si>
  <si>
    <t xml:space="preserve">  -      Post Public Enquiry provision</t>
  </si>
  <si>
    <t xml:space="preserve">  -      PEX Resource spent in MCC</t>
  </si>
  <si>
    <t>TOTAL PTCC</t>
  </si>
  <si>
    <t xml:space="preserve">  -      staff</t>
  </si>
  <si>
    <t xml:space="preserve">  -      Contingencies</t>
  </si>
  <si>
    <t>TOTAL PSPP</t>
  </si>
  <si>
    <t>BLOCK 1</t>
  </si>
  <si>
    <t>Non Recurring Expenditure (FWP- Projects)</t>
  </si>
  <si>
    <t xml:space="preserve">  -      Experts Costs</t>
  </si>
  <si>
    <t>BLOCK 2</t>
  </si>
  <si>
    <t xml:space="preserve"> CARRY-OVERS from previous years:Projects </t>
  </si>
  <si>
    <t xml:space="preserve">  -     MCC</t>
  </si>
  <si>
    <t xml:space="preserve">  -     PTCC</t>
  </si>
  <si>
    <t xml:space="preserve">  -     FWP     </t>
  </si>
  <si>
    <t>BLOCK 3</t>
  </si>
  <si>
    <t>Taxes/ other Expenditure / Income</t>
  </si>
  <si>
    <t xml:space="preserve">  -    Local Tax (Taxe Professionelle)</t>
  </si>
  <si>
    <t xml:space="preserve">  -    Not-deductible VAT</t>
  </si>
  <si>
    <t xml:space="preserve">  -    Provision for Risks &amp; Charges written back</t>
  </si>
  <si>
    <t xml:space="preserve">  -    Loss Sales</t>
  </si>
  <si>
    <t xml:space="preserve">  -    Loss Contributions</t>
  </si>
  <si>
    <t xml:space="preserve">  -    Investment</t>
  </si>
  <si>
    <t>BLOCK 4</t>
  </si>
  <si>
    <t>Total Expenditure</t>
  </si>
  <si>
    <t>Total Allocation Budget 2001</t>
  </si>
  <si>
    <t>Partners</t>
  </si>
  <si>
    <t>Salary Costs SMS Support</t>
  </si>
  <si>
    <t>Partners funding</t>
  </si>
  <si>
    <t>MCC</t>
  </si>
  <si>
    <t>CPM Support FWP</t>
  </si>
  <si>
    <t>CPM Support PTCC</t>
  </si>
  <si>
    <t>CPM Support MCC</t>
  </si>
  <si>
    <t>Sub-total Internet</t>
  </si>
  <si>
    <t>Experts FWP</t>
  </si>
  <si>
    <t>Experts PTCC</t>
  </si>
  <si>
    <t>Experts MCC</t>
  </si>
  <si>
    <t>Experts PSPP</t>
  </si>
  <si>
    <t>Travel Costs PTCC</t>
  </si>
  <si>
    <t>Travel Costs M&amp;D</t>
  </si>
  <si>
    <t>Salary Costs M&amp;D</t>
  </si>
  <si>
    <t>Salary Costs PTCC</t>
  </si>
  <si>
    <t>new SMG9 / TC MSG</t>
  </si>
  <si>
    <t>GERAN</t>
  </si>
  <si>
    <t>Salary Costs MCC</t>
  </si>
  <si>
    <t xml:space="preserve">Free Experts </t>
  </si>
  <si>
    <t>newSMG/ TC MSG</t>
  </si>
  <si>
    <t>FreeExpert GSM ASS.</t>
  </si>
  <si>
    <t>2 Free Experts</t>
  </si>
  <si>
    <t>Total salary releted expenses</t>
  </si>
  <si>
    <t>Total functional Costs / Funding (incl. Experts for free)</t>
  </si>
  <si>
    <t>Salary Costs CPM Support</t>
  </si>
  <si>
    <t>Corrected Ysal M&amp;D:</t>
  </si>
  <si>
    <t xml:space="preserve">  -    Corporate Tax</t>
  </si>
  <si>
    <t xml:space="preserve">  Contingencies (Unidentified)</t>
  </si>
  <si>
    <t>VF</t>
  </si>
  <si>
    <t>Foires et Expo</t>
  </si>
  <si>
    <t>Dutko</t>
  </si>
  <si>
    <t>CCGEN(+Cont- F&amp;E-Dutko)</t>
  </si>
  <si>
    <t>Total Budget</t>
  </si>
  <si>
    <t>CJC</t>
  </si>
  <si>
    <t>MDS</t>
  </si>
  <si>
    <t>PR</t>
  </si>
  <si>
    <t>SS</t>
  </si>
  <si>
    <t>P Grades</t>
  </si>
  <si>
    <t>IC</t>
  </si>
  <si>
    <t>GH</t>
  </si>
  <si>
    <t>FP</t>
  </si>
  <si>
    <t>GV</t>
  </si>
  <si>
    <t>KF</t>
  </si>
  <si>
    <t>NK</t>
  </si>
  <si>
    <t>UM</t>
  </si>
  <si>
    <t>PGR</t>
  </si>
  <si>
    <t>G Grades</t>
  </si>
  <si>
    <t>Total Staff</t>
  </si>
  <si>
    <t>Costs per HFA</t>
  </si>
  <si>
    <t>ATM</t>
  </si>
  <si>
    <t>DVB</t>
  </si>
  <si>
    <t>GSM</t>
  </si>
  <si>
    <t>Costs per Cell</t>
  </si>
  <si>
    <t>ETSAG/Market Access</t>
  </si>
  <si>
    <t>Admin/Institutional</t>
  </si>
  <si>
    <t>Publications/Info Dissemination</t>
  </si>
  <si>
    <t>Total P</t>
  </si>
  <si>
    <t>Total G</t>
  </si>
  <si>
    <t>P</t>
  </si>
  <si>
    <t>G</t>
  </si>
  <si>
    <t>GRADE</t>
  </si>
  <si>
    <t>#</t>
  </si>
  <si>
    <t>Corrected Ysal MCC:</t>
  </si>
  <si>
    <t>Avg MCC G-grade</t>
  </si>
  <si>
    <t>Avg MCC P-grade</t>
  </si>
  <si>
    <t>Support Services</t>
  </si>
  <si>
    <t>Salary Costs PSPP</t>
  </si>
  <si>
    <t>salaries CCs</t>
  </si>
  <si>
    <t>(Experts) Travel MCC</t>
  </si>
  <si>
    <t>Travel Costs PSPP</t>
  </si>
  <si>
    <t>Travel Secretariat</t>
  </si>
  <si>
    <t>Travel CCs / Experts</t>
  </si>
  <si>
    <t>Salaries ETSI Staff in CCs</t>
  </si>
  <si>
    <t>Salaries ETSI Support Staff</t>
  </si>
  <si>
    <t>Overheads</t>
  </si>
  <si>
    <t>Basic housing costs:</t>
  </si>
  <si>
    <t>Total Support Services</t>
  </si>
  <si>
    <t>Total Overheads</t>
  </si>
  <si>
    <t>Overhead Allocation</t>
  </si>
  <si>
    <t>Overhead Cost Centers</t>
  </si>
  <si>
    <t>Bake-off income</t>
  </si>
  <si>
    <t>Fora Hosting</t>
  </si>
  <si>
    <t>Salary Costs PTCC Support</t>
  </si>
  <si>
    <t>FOR A Hosting</t>
  </si>
  <si>
    <t>BakeOff</t>
  </si>
  <si>
    <t>kEUR</t>
  </si>
  <si>
    <t>-Contributions from previous years</t>
  </si>
  <si>
    <t>-Contributions for next year</t>
  </si>
  <si>
    <t>-3GPP Funding (1)</t>
  </si>
  <si>
    <t>-3GPP Funding reimbursement (ETSI share)</t>
  </si>
  <si>
    <t>Bake-Off Income (2)</t>
  </si>
  <si>
    <t>FORA Hosting (3)</t>
  </si>
  <si>
    <t>CORE Income</t>
  </si>
  <si>
    <t xml:space="preserve">  -    Maintenance &amp; Utilities</t>
  </si>
  <si>
    <t xml:space="preserve">  -    Staff travel</t>
  </si>
  <si>
    <t xml:space="preserve">  -    Post &amp; Telecommunications</t>
  </si>
  <si>
    <t xml:space="preserve">  -    Miscellaneous</t>
  </si>
  <si>
    <t xml:space="preserve">  -    Promotional activities/Corporate communication</t>
  </si>
  <si>
    <t xml:space="preserve">  -    EC Special Projects</t>
  </si>
  <si>
    <t xml:space="preserve">  -    Outsourced Systems Development</t>
  </si>
  <si>
    <t xml:space="preserve">  -    Meetings &amp; Hospitality</t>
  </si>
  <si>
    <t xml:space="preserve">  -    Office rental</t>
  </si>
  <si>
    <t xml:space="preserve">  -    Professional fees</t>
  </si>
  <si>
    <t xml:space="preserve">  -    Photocopying</t>
  </si>
  <si>
    <t xml:space="preserve">  Contingencies (FORA Hosting)</t>
  </si>
  <si>
    <t xml:space="preserve">   Total Contingencies</t>
  </si>
  <si>
    <t>SURPLUS / DEFICIT</t>
  </si>
  <si>
    <t>*) Not included are 3 experts, made available for free by 3GPP partners</t>
  </si>
  <si>
    <t>Number of Units</t>
  </si>
  <si>
    <t>UOC Cost</t>
  </si>
  <si>
    <t>Balance contributions previous year</t>
  </si>
  <si>
    <t>UOC to be Paid</t>
  </si>
  <si>
    <t xml:space="preserve"> MCC     </t>
  </si>
  <si>
    <t xml:space="preserve">  -     Experts</t>
  </si>
  <si>
    <t xml:space="preserve">  -      Experts Costs:</t>
  </si>
  <si>
    <t>Funded By:</t>
  </si>
  <si>
    <t>ETSI</t>
  </si>
  <si>
    <t>ETSI/TIA</t>
  </si>
</sst>
</file>

<file path=xl/styles.xml><?xml version="1.0" encoding="utf-8"?>
<styleSheet xmlns="http://schemas.openxmlformats.org/spreadsheetml/2006/main">
  <numFmts count="43">
    <numFmt numFmtId="5" formatCode="&quot;F&quot;#,##0;\-&quot;F&quot;#,##0"/>
    <numFmt numFmtId="6" formatCode="&quot;F&quot;#,##0;[Red]\-&quot;F&quot;#,##0"/>
    <numFmt numFmtId="7" formatCode="&quot;F&quot;#,##0.00;\-&quot;F&quot;#,##0.00"/>
    <numFmt numFmtId="8" formatCode="&quot;F&quot;#,##0.00;[Red]\-&quot;F&quot;#,##0.00"/>
    <numFmt numFmtId="42" formatCode="_-&quot;F&quot;* #,##0_-;\-&quot;F&quot;* #,##0_-;_-&quot;F&quot;* &quot;-&quot;_-;_-@_-"/>
    <numFmt numFmtId="41" formatCode="_-* #,##0_-;\-* #,##0_-;_-* &quot;-&quot;_-;_-@_-"/>
    <numFmt numFmtId="44" formatCode="_-&quot;F&quot;* #,##0.00_-;\-&quot;F&quot;* #,##0.00_-;_-&quot;F&quot;* &quot;-&quot;??_-;_-@_-"/>
    <numFmt numFmtId="43" formatCode="_-* #,##0.00_-;\-* #,##0.00_-;_-* &quot;-&quot;??_-;_-@_-"/>
    <numFmt numFmtId="164" formatCode="#,##0&quot;F&quot;;\-#,##0&quot;F&quot;"/>
    <numFmt numFmtId="165" formatCode="#,##0&quot;F&quot;;[Red]\-#,##0&quot;F&quot;"/>
    <numFmt numFmtId="166" formatCode="#,##0.00&quot;F&quot;;\-#,##0.00&quot;F&quot;"/>
    <numFmt numFmtId="167" formatCode="#,##0.00&quot;F&quot;;[Red]\-#,##0.00&quot;F&quot;"/>
    <numFmt numFmtId="168" formatCode="_-* #,##0&quot;F&quot;_-;\-* #,##0&quot;F&quot;_-;_-* &quot;-&quot;&quot;F&quot;_-;_-@_-"/>
    <numFmt numFmtId="169" formatCode="_-* #,##0_F_-;\-* #,##0_F_-;_-* &quot;-&quot;_F_-;_-@_-"/>
    <numFmt numFmtId="170" formatCode="_-* #,##0.00&quot;F&quot;_-;\-* #,##0.00&quot;F&quot;_-;_-* &quot;-&quot;??&quot;F&quot;_-;_-@_-"/>
    <numFmt numFmtId="171" formatCode="_-* #,##0.00_F_-;\-* #,##0.00_F_-;_-* &quot;-&quot;??_F_-;_-@_-"/>
    <numFmt numFmtId="172" formatCode="_(* #,##0_);_(* \(#,##0\);_(* &quot;-&quot;_);_(@_)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#,##0.000"/>
    <numFmt numFmtId="188" formatCode="#,##0.0000"/>
    <numFmt numFmtId="189" formatCode="0.0000"/>
    <numFmt numFmtId="190" formatCode="0.000"/>
    <numFmt numFmtId="191" formatCode="#,##0_F"/>
    <numFmt numFmtId="192" formatCode="#,##0.00_F"/>
    <numFmt numFmtId="193" formatCode="#,##0&quot;F&quot;"/>
    <numFmt numFmtId="194" formatCode="mmmm\-yy"/>
    <numFmt numFmtId="195" formatCode="#,##0.0_F"/>
    <numFmt numFmtId="196" formatCode="#,##0.000_F"/>
    <numFmt numFmtId="197" formatCode="#,##0_ ;[Red]\-#,##0\ "/>
    <numFmt numFmtId="198" formatCode="d\-mmm"/>
  </numFmts>
  <fonts count="2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i/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b/>
      <sz val="11"/>
      <name val="Tahoma"/>
      <family val="2"/>
    </font>
    <font>
      <i/>
      <sz val="11"/>
      <color indexed="18"/>
      <name val="Times New Roman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i/>
      <sz val="10"/>
      <color indexed="8"/>
      <name val="Times New Roman"/>
      <family val="0"/>
    </font>
    <font>
      <i/>
      <sz val="10"/>
      <name val="Arial"/>
      <family val="2"/>
    </font>
    <font>
      <b/>
      <i/>
      <sz val="11"/>
      <color indexed="18"/>
      <name val="Times New Roman"/>
      <family val="1"/>
    </font>
    <font>
      <b/>
      <u val="single"/>
      <sz val="8"/>
      <color indexed="4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8"/>
      <color indexed="48"/>
      <name val="Arial"/>
      <family val="2"/>
    </font>
    <font>
      <b/>
      <sz val="8"/>
      <color indexed="48"/>
      <name val="Arial"/>
      <family val="2"/>
    </font>
    <font>
      <b/>
      <sz val="8"/>
      <color indexed="8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Times New Roman"/>
      <family val="1"/>
    </font>
    <font>
      <sz val="8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8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ashed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6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1" fontId="0" fillId="2" borderId="2" xfId="0" applyNumberForma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9" fontId="0" fillId="2" borderId="2" xfId="22" applyFill="1" applyBorder="1" applyAlignment="1">
      <alignment/>
    </xf>
    <xf numFmtId="1" fontId="4" fillId="2" borderId="2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/>
    </xf>
    <xf numFmtId="9" fontId="4" fillId="2" borderId="2" xfId="22" applyFont="1" applyFill="1" applyBorder="1" applyAlignment="1">
      <alignment/>
    </xf>
    <xf numFmtId="1" fontId="0" fillId="2" borderId="2" xfId="0" applyNumberFormat="1" applyFill="1" applyBorder="1" applyAlignment="1" quotePrefix="1">
      <alignment horizontal="left"/>
    </xf>
    <xf numFmtId="1" fontId="0" fillId="2" borderId="2" xfId="0" applyNumberFormat="1" applyFill="1" applyBorder="1" applyAlignment="1">
      <alignment wrapText="1"/>
    </xf>
    <xf numFmtId="1" fontId="4" fillId="2" borderId="1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horizontal="right" wrapText="1"/>
    </xf>
    <xf numFmtId="9" fontId="0" fillId="3" borderId="2" xfId="22" applyFill="1" applyBorder="1" applyAlignment="1">
      <alignment/>
    </xf>
    <xf numFmtId="1" fontId="4" fillId="2" borderId="3" xfId="0" applyNumberFormat="1" applyFont="1" applyFill="1" applyBorder="1" applyAlignment="1" quotePrefix="1">
      <alignment horizontal="left"/>
    </xf>
    <xf numFmtId="1" fontId="4" fillId="2" borderId="3" xfId="0" applyNumberFormat="1" applyFont="1" applyFill="1" applyBorder="1" applyAlignment="1">
      <alignment/>
    </xf>
    <xf numFmtId="9" fontId="4" fillId="2" borderId="3" xfId="22" applyFont="1" applyFill="1" applyBorder="1" applyAlignment="1">
      <alignment/>
    </xf>
    <xf numFmtId="0" fontId="0" fillId="2" borderId="4" xfId="0" applyFill="1" applyBorder="1" applyAlignment="1">
      <alignment/>
    </xf>
    <xf numFmtId="9" fontId="4" fillId="3" borderId="3" xfId="22" applyFont="1" applyFill="1" applyBorder="1" applyAlignment="1">
      <alignment/>
    </xf>
    <xf numFmtId="0" fontId="0" fillId="3" borderId="2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 horizontal="center" textRotation="90" wrapText="1"/>
    </xf>
    <xf numFmtId="49" fontId="4" fillId="0" borderId="15" xfId="0" applyNumberFormat="1" applyFont="1" applyBorder="1" applyAlignment="1">
      <alignment horizontal="center" textRotation="90" wrapText="1"/>
    </xf>
    <xf numFmtId="49" fontId="4" fillId="0" borderId="16" xfId="0" applyNumberFormat="1" applyFont="1" applyBorder="1" applyAlignment="1">
      <alignment horizontal="center" textRotation="90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72" fontId="0" fillId="0" borderId="21" xfId="0" applyNumberFormat="1" applyBorder="1" applyAlignment="1">
      <alignment horizontal="center" textRotation="90" wrapText="1"/>
    </xf>
    <xf numFmtId="172" fontId="0" fillId="0" borderId="1" xfId="0" applyNumberFormat="1" applyBorder="1" applyAlignment="1">
      <alignment horizontal="center" textRotation="90" wrapText="1"/>
    </xf>
    <xf numFmtId="172" fontId="0" fillId="0" borderId="22" xfId="0" applyNumberFormat="1" applyBorder="1" applyAlignment="1">
      <alignment horizontal="center" textRotation="90" wrapText="1"/>
    </xf>
    <xf numFmtId="172" fontId="0" fillId="0" borderId="1" xfId="0" applyNumberFormat="1" applyBorder="1" applyAlignment="1">
      <alignment/>
    </xf>
    <xf numFmtId="172" fontId="0" fillId="0" borderId="23" xfId="0" applyNumberFormat="1" applyBorder="1" applyAlignment="1">
      <alignment horizontal="center" textRotation="90" wrapText="1"/>
    </xf>
    <xf numFmtId="0" fontId="0" fillId="0" borderId="24" xfId="0" applyBorder="1" applyAlignment="1">
      <alignment/>
    </xf>
    <xf numFmtId="0" fontId="4" fillId="0" borderId="19" xfId="0" applyFon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0" xfId="0" applyFill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172" fontId="4" fillId="0" borderId="28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4" xfId="0" applyFont="1" applyBorder="1" applyAlignment="1">
      <alignment/>
    </xf>
    <xf numFmtId="172" fontId="0" fillId="0" borderId="31" xfId="0" applyNumberFormat="1" applyBorder="1" applyAlignment="1">
      <alignment/>
    </xf>
    <xf numFmtId="0" fontId="0" fillId="2" borderId="19" xfId="0" applyFill="1" applyBorder="1" applyAlignment="1">
      <alignment/>
    </xf>
    <xf numFmtId="172" fontId="0" fillId="2" borderId="1" xfId="0" applyNumberFormat="1" applyFill="1" applyBorder="1" applyAlignment="1">
      <alignment/>
    </xf>
    <xf numFmtId="172" fontId="0" fillId="2" borderId="22" xfId="0" applyNumberFormat="1" applyFill="1" applyBorder="1" applyAlignment="1">
      <alignment/>
    </xf>
    <xf numFmtId="172" fontId="0" fillId="2" borderId="21" xfId="0" applyNumberFormat="1" applyFill="1" applyBorder="1" applyAlignment="1">
      <alignment/>
    </xf>
    <xf numFmtId="172" fontId="0" fillId="2" borderId="23" xfId="0" applyNumberFormat="1" applyFill="1" applyBorder="1" applyAlignment="1">
      <alignment/>
    </xf>
    <xf numFmtId="0" fontId="0" fillId="2" borderId="24" xfId="0" applyFill="1" applyBorder="1" applyAlignment="1">
      <alignment/>
    </xf>
    <xf numFmtId="172" fontId="4" fillId="0" borderId="1" xfId="0" applyNumberFormat="1" applyFont="1" applyBorder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172" fontId="4" fillId="0" borderId="32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33" xfId="0" applyFont="1" applyBorder="1" applyAlignment="1">
      <alignment/>
    </xf>
    <xf numFmtId="172" fontId="4" fillId="0" borderId="34" xfId="0" applyNumberFormat="1" applyFont="1" applyBorder="1" applyAlignment="1">
      <alignment/>
    </xf>
    <xf numFmtId="172" fontId="4" fillId="0" borderId="35" xfId="0" applyNumberFormat="1" applyFont="1" applyBorder="1" applyAlignment="1">
      <alignment/>
    </xf>
    <xf numFmtId="172" fontId="4" fillId="0" borderId="9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" xfId="0" applyBorder="1" applyAlignment="1">
      <alignment/>
    </xf>
    <xf numFmtId="0" fontId="0" fillId="0" borderId="29" xfId="0" applyBorder="1" applyAlignment="1">
      <alignment/>
    </xf>
    <xf numFmtId="0" fontId="4" fillId="0" borderId="3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1" fontId="4" fillId="0" borderId="14" xfId="0" applyNumberFormat="1" applyFont="1" applyBorder="1" applyAlignment="1">
      <alignment horizontal="center" textRotation="90" wrapText="1"/>
    </xf>
    <xf numFmtId="49" fontId="4" fillId="0" borderId="23" xfId="0" applyNumberFormat="1" applyFont="1" applyBorder="1" applyAlignment="1">
      <alignment horizontal="center" textRotation="90" wrapText="1"/>
    </xf>
    <xf numFmtId="9" fontId="4" fillId="0" borderId="21" xfId="22" applyFont="1" applyBorder="1" applyAlignment="1">
      <alignment horizontal="center" textRotation="90" wrapText="1"/>
    </xf>
    <xf numFmtId="0" fontId="4" fillId="0" borderId="36" xfId="0" applyFont="1" applyBorder="1" applyAlignment="1">
      <alignment horizontal="center" textRotation="90"/>
    </xf>
    <xf numFmtId="173" fontId="4" fillId="0" borderId="37" xfId="0" applyNumberFormat="1" applyFont="1" applyBorder="1" applyAlignment="1">
      <alignment horizontal="center" textRotation="90"/>
    </xf>
    <xf numFmtId="0" fontId="4" fillId="0" borderId="38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39" xfId="0" applyFont="1" applyBorder="1" applyAlignment="1">
      <alignment horizontal="center" textRotation="90"/>
    </xf>
    <xf numFmtId="0" fontId="4" fillId="0" borderId="4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2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172" fontId="4" fillId="0" borderId="41" xfId="0" applyNumberFormat="1" applyFont="1" applyBorder="1" applyAlignment="1">
      <alignment/>
    </xf>
    <xf numFmtId="1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73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4" fillId="0" borderId="31" xfId="0" applyFont="1" applyBorder="1" applyAlignment="1">
      <alignment/>
    </xf>
    <xf numFmtId="49" fontId="4" fillId="0" borderId="21" xfId="0" applyNumberFormat="1" applyFont="1" applyBorder="1" applyAlignment="1">
      <alignment horizontal="center" textRotation="90" wrapText="1"/>
    </xf>
    <xf numFmtId="49" fontId="4" fillId="0" borderId="1" xfId="0" applyNumberFormat="1" applyFont="1" applyBorder="1" applyAlignment="1">
      <alignment horizontal="center" textRotation="90" wrapText="1"/>
    </xf>
    <xf numFmtId="49" fontId="4" fillId="0" borderId="0" xfId="0" applyNumberFormat="1" applyFont="1" applyBorder="1" applyAlignment="1">
      <alignment horizontal="center" textRotation="90" wrapText="1"/>
    </xf>
    <xf numFmtId="1" fontId="4" fillId="0" borderId="24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0" fontId="0" fillId="0" borderId="21" xfId="0" applyBorder="1" applyAlignment="1">
      <alignment/>
    </xf>
    <xf numFmtId="1" fontId="4" fillId="0" borderId="23" xfId="0" applyNumberFormat="1" applyFont="1" applyBorder="1" applyAlignment="1">
      <alignment/>
    </xf>
    <xf numFmtId="173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1" fontId="4" fillId="0" borderId="40" xfId="0" applyNumberFormat="1" applyFont="1" applyBorder="1" applyAlignment="1">
      <alignment vertical="center"/>
    </xf>
    <xf numFmtId="1" fontId="4" fillId="0" borderId="26" xfId="0" applyNumberFormat="1" applyFont="1" applyBorder="1" applyAlignment="1">
      <alignment horizontal="right" vertical="center"/>
    </xf>
    <xf numFmtId="1" fontId="4" fillId="0" borderId="27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2" xfId="0" applyNumberFormat="1" applyFont="1" applyBorder="1" applyAlignment="1">
      <alignment horizontal="right" vertical="center" wrapText="1"/>
    </xf>
    <xf numFmtId="172" fontId="4" fillId="0" borderId="45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73" fontId="4" fillId="0" borderId="29" xfId="22" applyNumberFormat="1" applyFont="1" applyBorder="1" applyAlignment="1">
      <alignment/>
    </xf>
    <xf numFmtId="1" fontId="4" fillId="0" borderId="28" xfId="0" applyNumberFormat="1" applyFont="1" applyBorder="1" applyAlignment="1">
      <alignment horizontal="right" vertical="center"/>
    </xf>
    <xf numFmtId="1" fontId="4" fillId="0" borderId="29" xfId="0" applyNumberFormat="1" applyFont="1" applyBorder="1" applyAlignment="1">
      <alignment/>
    </xf>
    <xf numFmtId="173" fontId="4" fillId="0" borderId="41" xfId="22" applyNumberFormat="1" applyFont="1" applyBorder="1" applyAlignment="1">
      <alignment horizontal="right" vertical="center"/>
    </xf>
    <xf numFmtId="9" fontId="4" fillId="0" borderId="2" xfId="22" applyNumberFormat="1" applyFont="1" applyBorder="1" applyAlignment="1">
      <alignment/>
    </xf>
    <xf numFmtId="9" fontId="4" fillId="0" borderId="41" xfId="22" applyFont="1" applyBorder="1" applyAlignment="1">
      <alignment/>
    </xf>
    <xf numFmtId="0" fontId="0" fillId="0" borderId="1" xfId="0" applyBorder="1" applyAlignment="1">
      <alignment/>
    </xf>
    <xf numFmtId="0" fontId="0" fillId="0" borderId="22" xfId="0" applyBorder="1" applyAlignment="1">
      <alignment/>
    </xf>
    <xf numFmtId="173" fontId="4" fillId="0" borderId="46" xfId="22" applyNumberFormat="1" applyFont="1" applyBorder="1" applyAlignment="1">
      <alignment/>
    </xf>
    <xf numFmtId="173" fontId="4" fillId="0" borderId="22" xfId="22" applyNumberFormat="1" applyFont="1" applyBorder="1" applyAlignment="1">
      <alignment horizontal="right" vertical="center"/>
    </xf>
    <xf numFmtId="9" fontId="4" fillId="0" borderId="1" xfId="22" applyNumberFormat="1" applyFont="1" applyBorder="1" applyAlignment="1">
      <alignment/>
    </xf>
    <xf numFmtId="9" fontId="4" fillId="0" borderId="22" xfId="22" applyFont="1" applyBorder="1" applyAlignment="1">
      <alignment/>
    </xf>
    <xf numFmtId="1" fontId="4" fillId="0" borderId="0" xfId="0" applyNumberFormat="1" applyFont="1" applyBorder="1" applyAlignment="1">
      <alignment/>
    </xf>
    <xf numFmtId="173" fontId="4" fillId="0" borderId="0" xfId="22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72" fontId="4" fillId="0" borderId="2" xfId="0" applyNumberFormat="1" applyFont="1" applyBorder="1" applyAlignment="1">
      <alignment wrapText="1"/>
    </xf>
    <xf numFmtId="0" fontId="4" fillId="0" borderId="41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1" fontId="4" fillId="0" borderId="38" xfId="0" applyNumberFormat="1" applyFont="1" applyBorder="1" applyAlignment="1">
      <alignment/>
    </xf>
    <xf numFmtId="173" fontId="4" fillId="0" borderId="23" xfId="22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172" fontId="0" fillId="0" borderId="1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31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/>
    </xf>
    <xf numFmtId="9" fontId="4" fillId="3" borderId="2" xfId="22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31" xfId="0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73" fontId="0" fillId="0" borderId="23" xfId="22" applyNumberFormat="1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1" fontId="4" fillId="0" borderId="51" xfId="0" applyNumberFormat="1" applyFont="1" applyBorder="1" applyAlignment="1">
      <alignment/>
    </xf>
    <xf numFmtId="1" fontId="4" fillId="0" borderId="52" xfId="0" applyNumberFormat="1" applyFont="1" applyBorder="1" applyAlignment="1">
      <alignment/>
    </xf>
    <xf numFmtId="1" fontId="4" fillId="0" borderId="47" xfId="0" applyNumberFormat="1" applyFont="1" applyBorder="1" applyAlignment="1">
      <alignment/>
    </xf>
    <xf numFmtId="1" fontId="4" fillId="0" borderId="53" xfId="0" applyNumberFormat="1" applyFont="1" applyBorder="1" applyAlignment="1">
      <alignment/>
    </xf>
    <xf numFmtId="173" fontId="4" fillId="0" borderId="54" xfId="22" applyNumberFormat="1" applyFont="1" applyBorder="1" applyAlignment="1">
      <alignment horizontal="right" vertical="center"/>
    </xf>
    <xf numFmtId="9" fontId="4" fillId="0" borderId="54" xfId="22" applyNumberFormat="1" applyFont="1" applyBorder="1" applyAlignment="1">
      <alignment/>
    </xf>
    <xf numFmtId="9" fontId="4" fillId="0" borderId="54" xfId="22" applyFont="1" applyBorder="1" applyAlignment="1">
      <alignment/>
    </xf>
    <xf numFmtId="1" fontId="0" fillId="0" borderId="0" xfId="0" applyNumberFormat="1" applyAlignment="1">
      <alignment/>
    </xf>
    <xf numFmtId="0" fontId="0" fillId="2" borderId="29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9" fillId="3" borderId="55" xfId="20" applyFont="1" applyFill="1" applyBorder="1" applyAlignment="1">
      <alignment horizontal="center"/>
      <protection/>
    </xf>
    <xf numFmtId="1" fontId="8" fillId="0" borderId="0" xfId="20" applyNumberFormat="1">
      <alignment/>
      <protection/>
    </xf>
    <xf numFmtId="0" fontId="8" fillId="0" borderId="0" xfId="20">
      <alignment/>
      <protection/>
    </xf>
    <xf numFmtId="0" fontId="9" fillId="0" borderId="56" xfId="20" applyFont="1" applyFill="1" applyBorder="1" applyAlignment="1">
      <alignment horizontal="left" wrapText="1"/>
      <protection/>
    </xf>
    <xf numFmtId="4" fontId="9" fillId="0" borderId="56" xfId="20" applyNumberFormat="1" applyFont="1" applyFill="1" applyBorder="1" applyAlignment="1">
      <alignment horizontal="right" wrapText="1"/>
      <protection/>
    </xf>
    <xf numFmtId="3" fontId="9" fillId="0" borderId="56" xfId="20" applyNumberFormat="1" applyFont="1" applyFill="1" applyBorder="1" applyAlignment="1">
      <alignment horizontal="right" wrapText="1"/>
      <protection/>
    </xf>
    <xf numFmtId="3" fontId="10" fillId="0" borderId="56" xfId="20" applyNumberFormat="1" applyFont="1" applyFill="1" applyBorder="1" applyAlignment="1">
      <alignment horizontal="center" wrapText="1"/>
      <protection/>
    </xf>
    <xf numFmtId="0" fontId="9" fillId="3" borderId="55" xfId="21" applyFont="1" applyFill="1" applyBorder="1" applyAlignment="1">
      <alignment horizontal="center"/>
      <protection/>
    </xf>
    <xf numFmtId="1" fontId="10" fillId="3" borderId="55" xfId="21" applyNumberFormat="1" applyFont="1" applyFill="1" applyBorder="1" applyAlignment="1">
      <alignment horizontal="center"/>
      <protection/>
    </xf>
    <xf numFmtId="0" fontId="8" fillId="0" borderId="0" xfId="21">
      <alignment/>
      <protection/>
    </xf>
    <xf numFmtId="0" fontId="9" fillId="3" borderId="0" xfId="21" applyFont="1" applyFill="1" applyBorder="1" applyAlignment="1">
      <alignment horizontal="center"/>
      <protection/>
    </xf>
    <xf numFmtId="1" fontId="10" fillId="3" borderId="0" xfId="21" applyNumberFormat="1" applyFont="1" applyFill="1" applyBorder="1" applyAlignment="1">
      <alignment horizontal="center"/>
      <protection/>
    </xf>
    <xf numFmtId="0" fontId="9" fillId="0" borderId="56" xfId="21" applyFont="1" applyFill="1" applyBorder="1" applyAlignment="1">
      <alignment horizontal="left" wrapText="1"/>
      <protection/>
    </xf>
    <xf numFmtId="4" fontId="9" fillId="0" borderId="56" xfId="21" applyNumberFormat="1" applyFont="1" applyFill="1" applyBorder="1" applyAlignment="1">
      <alignment horizontal="right" wrapText="1"/>
      <protection/>
    </xf>
    <xf numFmtId="1" fontId="10" fillId="0" borderId="56" xfId="21" applyNumberFormat="1" applyFont="1" applyFill="1" applyBorder="1" applyAlignment="1">
      <alignment horizontal="right" wrapText="1"/>
      <protection/>
    </xf>
    <xf numFmtId="1" fontId="10" fillId="0" borderId="56" xfId="21" applyNumberFormat="1" applyFont="1" applyFill="1" applyBorder="1" applyAlignment="1">
      <alignment horizontal="center" wrapText="1"/>
      <protection/>
    </xf>
    <xf numFmtId="4" fontId="8" fillId="0" borderId="0" xfId="21" applyNumberFormat="1">
      <alignment/>
      <protection/>
    </xf>
    <xf numFmtId="1" fontId="11" fillId="0" borderId="0" xfId="21" applyNumberFormat="1" applyFont="1">
      <alignment/>
      <protection/>
    </xf>
    <xf numFmtId="0" fontId="0" fillId="4" borderId="2" xfId="0" applyFont="1" applyFill="1" applyBorder="1" applyAlignment="1">
      <alignment vertical="top" wrapText="1"/>
    </xf>
    <xf numFmtId="177" fontId="0" fillId="2" borderId="2" xfId="0" applyNumberFormat="1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1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177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 wrapText="1"/>
    </xf>
    <xf numFmtId="1" fontId="0" fillId="0" borderId="0" xfId="0" applyNumberFormat="1" applyFill="1" applyAlignment="1">
      <alignment/>
    </xf>
    <xf numFmtId="177" fontId="0" fillId="5" borderId="2" xfId="0" applyNumberFormat="1" applyFill="1" applyBorder="1" applyAlignment="1">
      <alignment wrapText="1"/>
    </xf>
    <xf numFmtId="177" fontId="0" fillId="5" borderId="2" xfId="0" applyNumberFormat="1" applyFill="1" applyBorder="1" applyAlignment="1">
      <alignment/>
    </xf>
    <xf numFmtId="177" fontId="0" fillId="0" borderId="0" xfId="0" applyNumberFormat="1" applyAlignment="1">
      <alignment/>
    </xf>
    <xf numFmtId="1" fontId="0" fillId="5" borderId="2" xfId="0" applyNumberFormat="1" applyFill="1" applyBorder="1" applyAlignment="1">
      <alignment wrapText="1"/>
    </xf>
    <xf numFmtId="1" fontId="0" fillId="5" borderId="2" xfId="0" applyNumberFormat="1" applyFill="1" applyBorder="1" applyAlignment="1">
      <alignment/>
    </xf>
    <xf numFmtId="1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2" xfId="0" applyFill="1" applyBorder="1" applyAlignment="1">
      <alignment/>
    </xf>
    <xf numFmtId="177" fontId="0" fillId="6" borderId="2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0" borderId="2" xfId="0" applyFill="1" applyBorder="1" applyAlignment="1">
      <alignment/>
    </xf>
    <xf numFmtId="1" fontId="0" fillId="0" borderId="0" xfId="0" applyNumberFormat="1" applyFont="1" applyAlignment="1">
      <alignment/>
    </xf>
    <xf numFmtId="178" fontId="0" fillId="4" borderId="2" xfId="0" applyNumberFormat="1" applyFill="1" applyBorder="1" applyAlignment="1">
      <alignment/>
    </xf>
    <xf numFmtId="178" fontId="0" fillId="7" borderId="2" xfId="0" applyNumberFormat="1" applyFill="1" applyBorder="1" applyAlignment="1">
      <alignment/>
    </xf>
    <xf numFmtId="178" fontId="0" fillId="0" borderId="2" xfId="0" applyNumberFormat="1" applyBorder="1" applyAlignment="1">
      <alignment/>
    </xf>
    <xf numFmtId="178" fontId="0" fillId="0" borderId="0" xfId="0" applyNumberFormat="1" applyAlignment="1">
      <alignment/>
    </xf>
    <xf numFmtId="178" fontId="0" fillId="8" borderId="2" xfId="0" applyNumberFormat="1" applyFill="1" applyBorder="1" applyAlignment="1" quotePrefix="1">
      <alignment horizontal="left"/>
    </xf>
    <xf numFmtId="178" fontId="0" fillId="0" borderId="2" xfId="0" applyNumberFormat="1" applyFill="1" applyBorder="1" applyAlignment="1">
      <alignment/>
    </xf>
    <xf numFmtId="178" fontId="0" fillId="8" borderId="2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 quotePrefix="1">
      <alignment horizontal="left"/>
    </xf>
    <xf numFmtId="178" fontId="0" fillId="0" borderId="0" xfId="0" applyNumberFormat="1" applyFill="1" applyAlignment="1">
      <alignment/>
    </xf>
    <xf numFmtId="178" fontId="0" fillId="9" borderId="0" xfId="0" applyNumberFormat="1" applyFill="1" applyBorder="1" applyAlignment="1" quotePrefix="1">
      <alignment horizontal="left"/>
    </xf>
    <xf numFmtId="178" fontId="0" fillId="9" borderId="0" xfId="0" applyNumberForma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11" fillId="0" borderId="0" xfId="20" applyFont="1">
      <alignment/>
      <protection/>
    </xf>
    <xf numFmtId="0" fontId="11" fillId="0" borderId="0" xfId="21" applyFont="1">
      <alignment/>
      <protection/>
    </xf>
    <xf numFmtId="1" fontId="8" fillId="0" borderId="0" xfId="21" applyNumberFormat="1">
      <alignment/>
      <protection/>
    </xf>
    <xf numFmtId="1" fontId="11" fillId="0" borderId="0" xfId="21" applyNumberFormat="1" applyFont="1">
      <alignment/>
      <protection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4" fontId="15" fillId="0" borderId="0" xfId="0" applyNumberFormat="1" applyFont="1" applyFill="1" applyAlignment="1">
      <alignment horizontal="right"/>
    </xf>
    <xf numFmtId="4" fontId="16" fillId="0" borderId="55" xfId="0" applyNumberFormat="1" applyFont="1" applyFill="1" applyBorder="1" applyAlignment="1">
      <alignment horizontal="right"/>
    </xf>
    <xf numFmtId="1" fontId="8" fillId="0" borderId="0" xfId="20" applyNumberFormat="1" applyFont="1">
      <alignment/>
      <protection/>
    </xf>
    <xf numFmtId="4" fontId="15" fillId="0" borderId="0" xfId="0" applyNumberFormat="1" applyFont="1" applyFill="1" applyAlignment="1" quotePrefix="1">
      <alignment horizontal="right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15" fillId="0" borderId="0" xfId="0" applyNumberFormat="1" applyFont="1" applyFill="1" applyAlignment="1">
      <alignment horizontal="right"/>
    </xf>
    <xf numFmtId="0" fontId="8" fillId="0" borderId="0" xfId="20" applyFont="1">
      <alignment/>
      <protection/>
    </xf>
    <xf numFmtId="0" fontId="8" fillId="0" borderId="0" xfId="20" applyFont="1" applyAlignment="1" quotePrefix="1">
      <alignment horizontal="left"/>
      <protection/>
    </xf>
    <xf numFmtId="0" fontId="17" fillId="0" borderId="0" xfId="0" applyFont="1" applyAlignment="1">
      <alignment horizontal="right"/>
    </xf>
    <xf numFmtId="1" fontId="11" fillId="0" borderId="0" xfId="20" applyNumberFormat="1" applyFont="1">
      <alignment/>
      <protection/>
    </xf>
    <xf numFmtId="0" fontId="18" fillId="0" borderId="0" xfId="0" applyFont="1" applyFill="1" applyAlignment="1">
      <alignment horizontal="left"/>
    </xf>
    <xf numFmtId="4" fontId="16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14" fillId="0" borderId="0" xfId="0" applyFont="1" applyFill="1" applyAlignment="1" quotePrefix="1">
      <alignment horizontal="left"/>
    </xf>
    <xf numFmtId="0" fontId="0" fillId="0" borderId="0" xfId="0" applyAlignment="1">
      <alignment textRotation="90"/>
    </xf>
    <xf numFmtId="0" fontId="2" fillId="5" borderId="2" xfId="0" applyFont="1" applyFill="1" applyBorder="1" applyAlignment="1">
      <alignment textRotation="90" wrapText="1"/>
    </xf>
    <xf numFmtId="2" fontId="0" fillId="10" borderId="2" xfId="0" applyNumberFormat="1" applyFont="1" applyFill="1" applyBorder="1" applyAlignment="1" quotePrefix="1">
      <alignment horizontal="left" vertical="top" wrapText="1"/>
    </xf>
    <xf numFmtId="2" fontId="0" fillId="10" borderId="2" xfId="0" applyNumberFormat="1" applyFill="1" applyBorder="1" applyAlignment="1">
      <alignment/>
    </xf>
    <xf numFmtId="2" fontId="0" fillId="10" borderId="0" xfId="0" applyNumberFormat="1" applyFill="1" applyAlignment="1">
      <alignment/>
    </xf>
    <xf numFmtId="2" fontId="0" fillId="10" borderId="2" xfId="0" applyNumberFormat="1" applyFill="1" applyBorder="1" applyAlignment="1" quotePrefix="1">
      <alignment horizontal="left" wrapText="1"/>
    </xf>
    <xf numFmtId="0" fontId="0" fillId="2" borderId="3" xfId="0" applyFill="1" applyBorder="1" applyAlignment="1">
      <alignment/>
    </xf>
    <xf numFmtId="177" fontId="0" fillId="2" borderId="2" xfId="0" applyNumberFormat="1" applyFill="1" applyBorder="1" applyAlignment="1">
      <alignment wrapText="1"/>
    </xf>
    <xf numFmtId="177" fontId="0" fillId="2" borderId="1" xfId="0" applyNumberFormat="1" applyFill="1" applyBorder="1" applyAlignment="1">
      <alignment/>
    </xf>
    <xf numFmtId="177" fontId="0" fillId="3" borderId="2" xfId="22" applyNumberFormat="1" applyFill="1" applyBorder="1" applyAlignment="1">
      <alignment/>
    </xf>
    <xf numFmtId="177" fontId="0" fillId="2" borderId="0" xfId="0" applyNumberFormat="1" applyFill="1" applyAlignment="1">
      <alignment/>
    </xf>
    <xf numFmtId="178" fontId="2" fillId="5" borderId="2" xfId="0" applyNumberFormat="1" applyFont="1" applyFill="1" applyBorder="1" applyAlignment="1">
      <alignment horizontal="center" textRotation="90" wrapText="1"/>
    </xf>
    <xf numFmtId="178" fontId="2" fillId="5" borderId="2" xfId="0" applyNumberFormat="1" applyFont="1" applyFill="1" applyBorder="1" applyAlignment="1" quotePrefix="1">
      <alignment horizontal="center" textRotation="90" wrapText="1"/>
    </xf>
    <xf numFmtId="178" fontId="0" fillId="0" borderId="0" xfId="0" applyNumberFormat="1" applyAlignment="1">
      <alignment textRotation="90"/>
    </xf>
    <xf numFmtId="0" fontId="8" fillId="0" borderId="0" xfId="21" applyFont="1">
      <alignment/>
      <protection/>
    </xf>
    <xf numFmtId="1" fontId="0" fillId="2" borderId="2" xfId="0" applyNumberFormat="1" applyFill="1" applyBorder="1" applyAlignment="1" quotePrefix="1">
      <alignment horizontal="left" wrapText="1"/>
    </xf>
    <xf numFmtId="3" fontId="16" fillId="0" borderId="0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center" vertical="center" wrapText="1"/>
    </xf>
    <xf numFmtId="1" fontId="0" fillId="2" borderId="2" xfId="0" applyNumberFormat="1" applyFont="1" applyFill="1" applyBorder="1" applyAlignment="1">
      <alignment horizontal="center" textRotation="90" wrapText="1"/>
    </xf>
    <xf numFmtId="1" fontId="17" fillId="2" borderId="2" xfId="0" applyNumberFormat="1" applyFont="1" applyFill="1" applyBorder="1" applyAlignment="1">
      <alignment horizontal="center" textRotation="90" wrapText="1"/>
    </xf>
    <xf numFmtId="1" fontId="4" fillId="2" borderId="2" xfId="0" applyNumberFormat="1" applyFont="1" applyFill="1" applyBorder="1" applyAlignment="1">
      <alignment horizontal="center" textRotation="90" wrapText="1"/>
    </xf>
    <xf numFmtId="1" fontId="0" fillId="2" borderId="2" xfId="0" applyNumberFormat="1" applyFont="1" applyFill="1" applyBorder="1" applyAlignment="1" quotePrefix="1">
      <alignment horizontal="center" textRotation="90" wrapText="1"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 textRotation="90" wrapText="1"/>
    </xf>
    <xf numFmtId="0" fontId="0" fillId="2" borderId="0" xfId="0" applyFont="1" applyFill="1" applyAlignment="1">
      <alignment/>
    </xf>
    <xf numFmtId="0" fontId="2" fillId="0" borderId="0" xfId="19">
      <alignment/>
      <protection/>
    </xf>
    <xf numFmtId="0" fontId="2" fillId="0" borderId="1" xfId="19" applyBorder="1">
      <alignment/>
      <protection/>
    </xf>
    <xf numFmtId="0" fontId="2" fillId="0" borderId="23" xfId="19" applyBorder="1">
      <alignment/>
      <protection/>
    </xf>
    <xf numFmtId="0" fontId="2" fillId="0" borderId="0" xfId="19" applyBorder="1">
      <alignment/>
      <protection/>
    </xf>
    <xf numFmtId="0" fontId="4" fillId="0" borderId="0" xfId="19" applyFont="1" applyBorder="1" applyAlignment="1">
      <alignment horizontal="center"/>
      <protection/>
    </xf>
    <xf numFmtId="0" fontId="3" fillId="0" borderId="29" xfId="19" applyFont="1" applyBorder="1" applyAlignment="1">
      <alignment horizontal="center"/>
      <protection/>
    </xf>
    <xf numFmtId="3" fontId="3" fillId="0" borderId="26" xfId="19" applyNumberFormat="1" applyFont="1" applyBorder="1" applyAlignment="1">
      <alignment horizontal="center"/>
      <protection/>
    </xf>
    <xf numFmtId="3" fontId="3" fillId="0" borderId="1" xfId="19" applyNumberFormat="1" applyFont="1" applyBorder="1" applyAlignment="1">
      <alignment horizontal="center"/>
      <protection/>
    </xf>
    <xf numFmtId="3" fontId="2" fillId="0" borderId="1" xfId="19" applyNumberFormat="1" applyFont="1" applyBorder="1" applyAlignment="1">
      <alignment horizontal="center"/>
      <protection/>
    </xf>
    <xf numFmtId="0" fontId="3" fillId="0" borderId="1" xfId="19" applyFont="1" applyBorder="1">
      <alignment/>
      <protection/>
    </xf>
    <xf numFmtId="198" fontId="3" fillId="0" borderId="0" xfId="19" applyNumberFormat="1" applyFont="1" applyBorder="1" applyAlignment="1">
      <alignment horizontal="center"/>
      <protection/>
    </xf>
    <xf numFmtId="3" fontId="3" fillId="0" borderId="0" xfId="19" applyNumberFormat="1" applyFont="1" applyBorder="1" applyAlignment="1">
      <alignment horizontal="center"/>
      <protection/>
    </xf>
    <xf numFmtId="3" fontId="3" fillId="0" borderId="26" xfId="19" applyNumberFormat="1" applyFont="1" applyBorder="1" applyAlignment="1">
      <alignment horizontal="center" wrapText="1"/>
      <protection/>
    </xf>
    <xf numFmtId="0" fontId="3" fillId="0" borderId="26" xfId="19" applyFont="1" applyBorder="1">
      <alignment/>
      <protection/>
    </xf>
    <xf numFmtId="0" fontId="3" fillId="0" borderId="23" xfId="19" applyFont="1" applyBorder="1">
      <alignment/>
      <protection/>
    </xf>
    <xf numFmtId="0" fontId="3" fillId="0" borderId="0" xfId="19" applyFont="1">
      <alignment/>
      <protection/>
    </xf>
    <xf numFmtId="3" fontId="2" fillId="0" borderId="10" xfId="19" applyNumberFormat="1" applyFont="1" applyBorder="1">
      <alignment/>
      <protection/>
    </xf>
    <xf numFmtId="3" fontId="2" fillId="0" borderId="1" xfId="19" applyNumberFormat="1" applyFont="1" applyBorder="1">
      <alignment/>
      <protection/>
    </xf>
    <xf numFmtId="3" fontId="2" fillId="0" borderId="0" xfId="19" applyNumberFormat="1" applyFont="1" applyBorder="1">
      <alignment/>
      <protection/>
    </xf>
    <xf numFmtId="3" fontId="2" fillId="0" borderId="1" xfId="19" applyNumberFormat="1" applyBorder="1">
      <alignment/>
      <protection/>
    </xf>
    <xf numFmtId="3" fontId="7" fillId="0" borderId="23" xfId="19" applyNumberFormat="1" applyFont="1" applyBorder="1">
      <alignment/>
      <protection/>
    </xf>
    <xf numFmtId="0" fontId="20" fillId="0" borderId="1" xfId="19" applyFont="1" applyBorder="1">
      <alignment/>
      <protection/>
    </xf>
    <xf numFmtId="3" fontId="7" fillId="0" borderId="0" xfId="19" applyNumberFormat="1" applyFont="1" applyBorder="1">
      <alignment/>
      <protection/>
    </xf>
    <xf numFmtId="3" fontId="7" fillId="0" borderId="1" xfId="19" applyNumberFormat="1" applyFont="1" applyBorder="1">
      <alignment/>
      <protection/>
    </xf>
    <xf numFmtId="3" fontId="21" fillId="0" borderId="1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right"/>
      <protection/>
    </xf>
    <xf numFmtId="3" fontId="20" fillId="0" borderId="1" xfId="19" applyNumberFormat="1" applyFont="1" applyBorder="1">
      <alignment/>
      <protection/>
    </xf>
    <xf numFmtId="0" fontId="17" fillId="0" borderId="1" xfId="19" applyFont="1" applyBorder="1">
      <alignment/>
      <protection/>
    </xf>
    <xf numFmtId="0" fontId="4" fillId="0" borderId="23" xfId="19" applyFont="1" applyBorder="1">
      <alignment/>
      <protection/>
    </xf>
    <xf numFmtId="0" fontId="4" fillId="0" borderId="0" xfId="19" applyFont="1">
      <alignment/>
      <protection/>
    </xf>
    <xf numFmtId="0" fontId="7" fillId="0" borderId="1" xfId="19" applyFont="1" applyBorder="1">
      <alignment/>
      <protection/>
    </xf>
    <xf numFmtId="3" fontId="7" fillId="0" borderId="16" xfId="19" applyNumberFormat="1" applyFont="1" applyBorder="1">
      <alignment/>
      <protection/>
    </xf>
    <xf numFmtId="191" fontId="7" fillId="0" borderId="13" xfId="19" applyNumberFormat="1" applyFont="1" applyBorder="1">
      <alignment/>
      <protection/>
    </xf>
    <xf numFmtId="191" fontId="7" fillId="0" borderId="1" xfId="19" applyNumberFormat="1" applyFont="1" applyBorder="1">
      <alignment/>
      <protection/>
    </xf>
    <xf numFmtId="3" fontId="2" fillId="0" borderId="13" xfId="19" applyNumberFormat="1" applyFont="1" applyBorder="1" applyAlignment="1">
      <alignment horizontal="right"/>
      <protection/>
    </xf>
    <xf numFmtId="191" fontId="7" fillId="0" borderId="13" xfId="19" applyNumberFormat="1" applyFont="1" applyBorder="1" applyAlignment="1">
      <alignment horizontal="right"/>
      <protection/>
    </xf>
    <xf numFmtId="3" fontId="3" fillId="0" borderId="23" xfId="19" applyNumberFormat="1" applyFont="1" applyBorder="1" applyAlignment="1">
      <alignment horizontal="right"/>
      <protection/>
    </xf>
    <xf numFmtId="0" fontId="4" fillId="0" borderId="1" xfId="19" applyFont="1" applyBorder="1" applyAlignment="1">
      <alignment horizontal="right"/>
      <protection/>
    </xf>
    <xf numFmtId="3" fontId="3" fillId="0" borderId="0" xfId="19" applyNumberFormat="1" applyFont="1" applyBorder="1" applyAlignment="1">
      <alignment horizontal="right"/>
      <protection/>
    </xf>
    <xf numFmtId="3" fontId="3" fillId="0" borderId="1" xfId="19" applyNumberFormat="1" applyFont="1" applyBorder="1" applyAlignment="1">
      <alignment horizontal="right"/>
      <protection/>
    </xf>
    <xf numFmtId="0" fontId="3" fillId="0" borderId="1" xfId="19" applyFont="1" applyBorder="1" applyAlignment="1">
      <alignment horizontal="right"/>
      <protection/>
    </xf>
    <xf numFmtId="3" fontId="3" fillId="0" borderId="0" xfId="19" applyNumberFormat="1" applyFont="1" applyBorder="1">
      <alignment/>
      <protection/>
    </xf>
    <xf numFmtId="3" fontId="2" fillId="0" borderId="0" xfId="19" applyNumberFormat="1" applyBorder="1">
      <alignment/>
      <protection/>
    </xf>
    <xf numFmtId="3" fontId="21" fillId="0" borderId="23" xfId="19" applyNumberFormat="1" applyFont="1" applyBorder="1">
      <alignment/>
      <protection/>
    </xf>
    <xf numFmtId="3" fontId="7" fillId="0" borderId="24" xfId="19" applyNumberFormat="1" applyFont="1" applyBorder="1" applyAlignment="1">
      <alignment horizontal="right"/>
      <protection/>
    </xf>
    <xf numFmtId="3" fontId="17" fillId="0" borderId="1" xfId="19" applyNumberFormat="1" applyFont="1" applyBorder="1">
      <alignment/>
      <protection/>
    </xf>
    <xf numFmtId="0" fontId="0" fillId="0" borderId="23" xfId="19" applyFont="1" applyBorder="1">
      <alignment/>
      <protection/>
    </xf>
    <xf numFmtId="0" fontId="0" fillId="0" borderId="0" xfId="19" applyFont="1">
      <alignment/>
      <protection/>
    </xf>
    <xf numFmtId="3" fontId="3" fillId="0" borderId="46" xfId="19" applyNumberFormat="1" applyFont="1" applyBorder="1" applyAlignment="1">
      <alignment horizontal="right"/>
      <protection/>
    </xf>
    <xf numFmtId="3" fontId="3" fillId="0" borderId="1" xfId="19" applyNumberFormat="1" applyFont="1" applyBorder="1" applyAlignment="1">
      <alignment horizontal="left"/>
      <protection/>
    </xf>
    <xf numFmtId="0" fontId="4" fillId="0" borderId="23" xfId="19" applyFont="1" applyBorder="1" applyAlignment="1">
      <alignment horizontal="left"/>
      <protection/>
    </xf>
    <xf numFmtId="0" fontId="4" fillId="0" borderId="0" xfId="19" applyFont="1" applyAlignment="1">
      <alignment horizontal="left"/>
      <protection/>
    </xf>
    <xf numFmtId="0" fontId="3" fillId="0" borderId="23" xfId="19" applyFont="1" applyBorder="1" applyAlignment="1">
      <alignment horizontal="left"/>
      <protection/>
    </xf>
    <xf numFmtId="0" fontId="3" fillId="0" borderId="0" xfId="19" applyFont="1" applyAlignment="1">
      <alignment horizontal="left"/>
      <protection/>
    </xf>
    <xf numFmtId="3" fontId="3" fillId="0" borderId="23" xfId="19" applyNumberFormat="1" applyFont="1" applyFill="1" applyBorder="1" applyAlignment="1">
      <alignment horizontal="right"/>
      <protection/>
    </xf>
    <xf numFmtId="3" fontId="3" fillId="0" borderId="1" xfId="19" applyNumberFormat="1" applyFont="1" applyBorder="1">
      <alignment/>
      <protection/>
    </xf>
    <xf numFmtId="3" fontId="3" fillId="0" borderId="1" xfId="19" applyNumberFormat="1" applyFont="1" applyBorder="1" applyAlignment="1">
      <alignment horizontal="left" indent="1"/>
      <protection/>
    </xf>
    <xf numFmtId="0" fontId="3" fillId="0" borderId="0" xfId="19" applyFont="1" applyAlignment="1">
      <alignment horizontal="left" indent="1"/>
      <protection/>
    </xf>
    <xf numFmtId="0" fontId="3" fillId="0" borderId="0" xfId="19" applyFont="1" applyBorder="1" applyAlignment="1">
      <alignment horizontal="right"/>
      <protection/>
    </xf>
    <xf numFmtId="191" fontId="3" fillId="0" borderId="0" xfId="19" applyNumberFormat="1" applyFont="1" applyBorder="1" applyAlignment="1">
      <alignment horizontal="right"/>
      <protection/>
    </xf>
    <xf numFmtId="191" fontId="3" fillId="0" borderId="1" xfId="19" applyNumberFormat="1" applyFont="1" applyBorder="1" applyAlignment="1">
      <alignment horizontal="right"/>
      <protection/>
    </xf>
    <xf numFmtId="191" fontId="3" fillId="0" borderId="1" xfId="19" applyNumberFormat="1" applyFont="1" applyBorder="1">
      <alignment/>
      <protection/>
    </xf>
    <xf numFmtId="0" fontId="3" fillId="2" borderId="0" xfId="19" applyFont="1" applyFill="1" applyBorder="1" applyAlignment="1" quotePrefix="1">
      <alignment horizontal="right"/>
      <protection/>
    </xf>
    <xf numFmtId="3" fontId="3" fillId="0" borderId="16" xfId="19" applyNumberFormat="1" applyFont="1" applyBorder="1" applyAlignment="1">
      <alignment horizontal="right"/>
      <protection/>
    </xf>
    <xf numFmtId="191" fontId="3" fillId="0" borderId="13" xfId="19" applyNumberFormat="1" applyFont="1" applyBorder="1" applyAlignment="1">
      <alignment horizontal="right"/>
      <protection/>
    </xf>
    <xf numFmtId="191" fontId="24" fillId="0" borderId="1" xfId="19" applyNumberFormat="1" applyFont="1" applyFill="1" applyBorder="1" applyAlignment="1">
      <alignment horizontal="right"/>
      <protection/>
    </xf>
    <xf numFmtId="3" fontId="3" fillId="0" borderId="13" xfId="19" applyNumberFormat="1" applyFont="1" applyBorder="1" applyAlignment="1">
      <alignment horizontal="right"/>
      <protection/>
    </xf>
    <xf numFmtId="3" fontId="3" fillId="0" borderId="29" xfId="19" applyNumberFormat="1" applyFont="1" applyFill="1" applyBorder="1" applyAlignment="1">
      <alignment horizontal="right"/>
      <protection/>
    </xf>
    <xf numFmtId="3" fontId="3" fillId="0" borderId="13" xfId="19" applyNumberFormat="1" applyFont="1" applyFill="1" applyBorder="1" applyAlignment="1">
      <alignment horizontal="right"/>
      <protection/>
    </xf>
    <xf numFmtId="3" fontId="3" fillId="0" borderId="26" xfId="19" applyNumberFormat="1" applyFont="1" applyFill="1" applyBorder="1" applyAlignment="1">
      <alignment horizontal="right"/>
      <protection/>
    </xf>
    <xf numFmtId="3" fontId="4" fillId="0" borderId="1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left"/>
      <protection/>
    </xf>
    <xf numFmtId="3" fontId="2" fillId="0" borderId="23" xfId="19" applyNumberFormat="1" applyFont="1" applyBorder="1">
      <alignment/>
      <protection/>
    </xf>
    <xf numFmtId="3" fontId="2" fillId="0" borderId="46" xfId="19" applyNumberFormat="1" applyFont="1" applyBorder="1">
      <alignment/>
      <protection/>
    </xf>
    <xf numFmtId="197" fontId="25" fillId="0" borderId="1" xfId="19" applyNumberFormat="1" applyFont="1" applyBorder="1" applyAlignment="1">
      <alignment horizontal="center" vertical="center"/>
      <protection/>
    </xf>
    <xf numFmtId="197" fontId="7" fillId="0" borderId="1" xfId="19" applyNumberFormat="1" applyFont="1" applyBorder="1" applyAlignment="1">
      <alignment horizontal="center"/>
      <protection/>
    </xf>
    <xf numFmtId="197" fontId="2" fillId="0" borderId="1" xfId="19" applyNumberFormat="1" applyBorder="1">
      <alignment/>
      <protection/>
    </xf>
    <xf numFmtId="197" fontId="2" fillId="0" borderId="1" xfId="19" applyNumberFormat="1" applyFont="1" applyBorder="1">
      <alignment/>
      <protection/>
    </xf>
    <xf numFmtId="3" fontId="2" fillId="0" borderId="23" xfId="19" applyNumberFormat="1" applyFont="1" applyBorder="1" applyAlignment="1">
      <alignment horizontal="left"/>
      <protection/>
    </xf>
    <xf numFmtId="0" fontId="2" fillId="0" borderId="1" xfId="19" applyBorder="1" applyAlignment="1">
      <alignment horizontal="left"/>
      <protection/>
    </xf>
    <xf numFmtId="3" fontId="2" fillId="0" borderId="0" xfId="19" applyNumberFormat="1" applyFont="1" applyBorder="1" applyAlignment="1">
      <alignment horizontal="left"/>
      <protection/>
    </xf>
    <xf numFmtId="3" fontId="2" fillId="0" borderId="1" xfId="19" applyNumberFormat="1" applyFont="1" applyBorder="1" applyAlignment="1">
      <alignment horizontal="left"/>
      <protection/>
    </xf>
    <xf numFmtId="3" fontId="2" fillId="0" borderId="1" xfId="19" applyNumberFormat="1" applyBorder="1" applyAlignment="1">
      <alignment horizontal="left"/>
      <protection/>
    </xf>
    <xf numFmtId="197" fontId="2" fillId="0" borderId="1" xfId="19" applyNumberFormat="1" applyBorder="1" applyAlignment="1">
      <alignment horizontal="left"/>
      <protection/>
    </xf>
    <xf numFmtId="0" fontId="2" fillId="0" borderId="23" xfId="19" applyBorder="1" applyAlignment="1">
      <alignment horizontal="left"/>
      <protection/>
    </xf>
    <xf numFmtId="0" fontId="2" fillId="0" borderId="0" xfId="19" applyAlignment="1">
      <alignment horizontal="left"/>
      <protection/>
    </xf>
    <xf numFmtId="3" fontId="2" fillId="0" borderId="23" xfId="19" applyNumberFormat="1" applyFont="1" applyFill="1" applyBorder="1">
      <alignment/>
      <protection/>
    </xf>
    <xf numFmtId="0" fontId="2" fillId="0" borderId="1" xfId="19" applyFill="1" applyBorder="1">
      <alignment/>
      <protection/>
    </xf>
    <xf numFmtId="3" fontId="2" fillId="0" borderId="0" xfId="19" applyNumberFormat="1" applyFont="1" applyFill="1" applyBorder="1">
      <alignment/>
      <protection/>
    </xf>
    <xf numFmtId="3" fontId="2" fillId="0" borderId="1" xfId="19" applyNumberFormat="1" applyFont="1" applyFill="1" applyBorder="1">
      <alignment/>
      <protection/>
    </xf>
    <xf numFmtId="3" fontId="2" fillId="0" borderId="1" xfId="19" applyNumberFormat="1" applyFill="1" applyBorder="1">
      <alignment/>
      <protection/>
    </xf>
    <xf numFmtId="0" fontId="2" fillId="0" borderId="0" xfId="19" applyFill="1">
      <alignment/>
      <protection/>
    </xf>
    <xf numFmtId="197" fontId="2" fillId="0" borderId="1" xfId="19" applyNumberFormat="1" applyBorder="1" applyAlignment="1">
      <alignment horizontal="right"/>
      <protection/>
    </xf>
    <xf numFmtId="0" fontId="2" fillId="0" borderId="1" xfId="19" applyFont="1" applyBorder="1">
      <alignment/>
      <protection/>
    </xf>
    <xf numFmtId="3" fontId="2" fillId="0" borderId="16" xfId="19" applyNumberFormat="1" applyFont="1" applyBorder="1">
      <alignment/>
      <protection/>
    </xf>
    <xf numFmtId="3" fontId="2" fillId="0" borderId="13" xfId="19" applyNumberFormat="1" applyFont="1" applyBorder="1">
      <alignment/>
      <protection/>
    </xf>
    <xf numFmtId="3" fontId="0" fillId="0" borderId="1" xfId="19" applyNumberFormat="1" applyFont="1" applyBorder="1">
      <alignment/>
      <protection/>
    </xf>
    <xf numFmtId="3" fontId="3" fillId="0" borderId="26" xfId="19" applyNumberFormat="1" applyFont="1" applyBorder="1">
      <alignment/>
      <protection/>
    </xf>
    <xf numFmtId="197" fontId="3" fillId="0" borderId="1" xfId="19" applyNumberFormat="1" applyFont="1" applyBorder="1" applyAlignment="1">
      <alignment horizontal="right"/>
      <protection/>
    </xf>
    <xf numFmtId="0" fontId="2" fillId="0" borderId="29" xfId="19" applyBorder="1">
      <alignment/>
      <protection/>
    </xf>
    <xf numFmtId="0" fontId="2" fillId="0" borderId="26" xfId="19" applyBorder="1">
      <alignment/>
      <protection/>
    </xf>
    <xf numFmtId="197" fontId="21" fillId="0" borderId="1" xfId="19" applyNumberFormat="1" applyFont="1" applyBorder="1" applyAlignment="1">
      <alignment horizontal="center" vertical="center"/>
      <protection/>
    </xf>
    <xf numFmtId="197" fontId="7" fillId="0" borderId="23" xfId="19" applyNumberFormat="1" applyFont="1" applyBorder="1" applyAlignment="1">
      <alignment horizontal="right" vertical="center"/>
      <protection/>
    </xf>
    <xf numFmtId="197" fontId="7" fillId="0" borderId="0" xfId="19" applyNumberFormat="1" applyFont="1" applyBorder="1" applyAlignment="1">
      <alignment horizontal="right" vertical="center"/>
      <protection/>
    </xf>
    <xf numFmtId="0" fontId="2" fillId="0" borderId="1" xfId="19" applyFont="1" applyBorder="1" applyAlignment="1">
      <alignment vertical="center"/>
      <protection/>
    </xf>
    <xf numFmtId="3" fontId="3" fillId="0" borderId="29" xfId="19" applyNumberFormat="1" applyFont="1" applyBorder="1">
      <alignment/>
      <protection/>
    </xf>
    <xf numFmtId="0" fontId="3" fillId="0" borderId="29" xfId="19" applyFont="1" applyBorder="1">
      <alignment/>
      <protection/>
    </xf>
    <xf numFmtId="197" fontId="2" fillId="0" borderId="1" xfId="19" applyNumberFormat="1" applyFont="1" applyBorder="1" applyAlignment="1">
      <alignment vertical="center"/>
      <protection/>
    </xf>
    <xf numFmtId="3" fontId="3" fillId="0" borderId="23" xfId="19" applyNumberFormat="1" applyFont="1" applyBorder="1">
      <alignment/>
      <protection/>
    </xf>
    <xf numFmtId="3" fontId="3" fillId="0" borderId="2" xfId="19" applyNumberFormat="1" applyFont="1" applyBorder="1">
      <alignment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>
      <alignment/>
      <protection/>
    </xf>
    <xf numFmtId="3" fontId="3" fillId="0" borderId="3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center"/>
      <protection/>
    </xf>
    <xf numFmtId="0" fontId="4" fillId="0" borderId="26" xfId="19" applyFont="1" applyBorder="1">
      <alignment/>
      <protection/>
    </xf>
    <xf numFmtId="3" fontId="3" fillId="0" borderId="51" xfId="19" applyNumberFormat="1" applyFont="1" applyBorder="1" applyAlignment="1">
      <alignment horizontal="right"/>
      <protection/>
    </xf>
    <xf numFmtId="197" fontId="26" fillId="0" borderId="1" xfId="19" applyNumberFormat="1" applyFont="1" applyBorder="1" applyAlignment="1">
      <alignment vertical="center"/>
      <protection/>
    </xf>
    <xf numFmtId="0" fontId="4" fillId="0" borderId="0" xfId="19" applyFont="1" applyBorder="1">
      <alignment/>
      <protection/>
    </xf>
    <xf numFmtId="3" fontId="2" fillId="0" borderId="0" xfId="19" applyNumberFormat="1" applyFont="1">
      <alignment/>
      <protection/>
    </xf>
    <xf numFmtId="0" fontId="2" fillId="0" borderId="0" xfId="19" applyFont="1">
      <alignment/>
      <protection/>
    </xf>
    <xf numFmtId="3" fontId="2" fillId="0" borderId="0" xfId="19" applyNumberFormat="1">
      <alignment/>
      <protection/>
    </xf>
    <xf numFmtId="1" fontId="4" fillId="2" borderId="2" xfId="0" applyNumberFormat="1" applyFont="1" applyFill="1" applyBorder="1" applyAlignment="1" quotePrefix="1">
      <alignment horizontal="center" textRotation="90" wrapText="1"/>
    </xf>
    <xf numFmtId="3" fontId="0" fillId="2" borderId="2" xfId="0" applyNumberFormat="1" applyFill="1" applyBorder="1" applyAlignment="1">
      <alignment/>
    </xf>
    <xf numFmtId="0" fontId="0" fillId="0" borderId="0" xfId="0" applyBorder="1" applyAlignment="1" quotePrefix="1">
      <alignment horizontal="left"/>
    </xf>
    <xf numFmtId="3" fontId="0" fillId="11" borderId="0" xfId="0" applyNumberFormat="1" applyFill="1" applyAlignment="1" quotePrefix="1">
      <alignment horizontal="left"/>
    </xf>
    <xf numFmtId="178" fontId="0" fillId="5" borderId="2" xfId="0" applyNumberFormat="1" applyFill="1" applyBorder="1" applyAlignment="1" quotePrefix="1">
      <alignment horizontal="left"/>
    </xf>
    <xf numFmtId="172" fontId="0" fillId="0" borderId="24" xfId="0" applyNumberFormat="1" applyBorder="1" applyAlignment="1">
      <alignment/>
    </xf>
    <xf numFmtId="0" fontId="0" fillId="0" borderId="26" xfId="0" applyFont="1" applyBorder="1" applyAlignment="1">
      <alignment/>
    </xf>
    <xf numFmtId="0" fontId="4" fillId="0" borderId="26" xfId="0" applyFont="1" applyBorder="1" applyAlignment="1" quotePrefix="1">
      <alignment horizontal="left"/>
    </xf>
    <xf numFmtId="177" fontId="0" fillId="2" borderId="2" xfId="0" applyNumberFormat="1" applyFill="1" applyBorder="1" applyAlignment="1" quotePrefix="1">
      <alignment horizontal="left" wrapText="1"/>
    </xf>
    <xf numFmtId="1" fontId="4" fillId="2" borderId="0" xfId="0" applyNumberFormat="1" applyFont="1" applyFill="1" applyBorder="1" applyAlignment="1">
      <alignment/>
    </xf>
    <xf numFmtId="0" fontId="4" fillId="2" borderId="29" xfId="0" applyFont="1" applyFill="1" applyBorder="1" applyAlignment="1">
      <alignment/>
    </xf>
    <xf numFmtId="49" fontId="4" fillId="0" borderId="18" xfId="0" applyNumberFormat="1" applyFont="1" applyBorder="1" applyAlignment="1">
      <alignment horizontal="center" textRotation="90" wrapText="1"/>
    </xf>
    <xf numFmtId="172" fontId="0" fillId="0" borderId="24" xfId="0" applyNumberFormat="1" applyBorder="1" applyAlignment="1">
      <alignment horizontal="center" textRotation="90" wrapText="1"/>
    </xf>
    <xf numFmtId="172" fontId="0" fillId="2" borderId="24" xfId="0" applyNumberFormat="1" applyFill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6" xfId="0" applyNumberFormat="1" applyFont="1" applyBorder="1" applyAlignment="1">
      <alignment/>
    </xf>
    <xf numFmtId="10" fontId="0" fillId="0" borderId="24" xfId="0" applyNumberFormat="1" applyBorder="1" applyAlignment="1">
      <alignment/>
    </xf>
    <xf numFmtId="3" fontId="16" fillId="0" borderId="55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16" fillId="0" borderId="0" xfId="0" applyNumberFormat="1" applyFont="1" applyFill="1" applyBorder="1" applyAlignment="1" quotePrefix="1">
      <alignment horizontal="right"/>
    </xf>
    <xf numFmtId="9" fontId="8" fillId="0" borderId="0" xfId="20" applyNumberFormat="1">
      <alignment/>
      <protection/>
    </xf>
    <xf numFmtId="9" fontId="11" fillId="0" borderId="0" xfId="20" applyNumberFormat="1" applyFont="1">
      <alignment/>
      <protection/>
    </xf>
    <xf numFmtId="0" fontId="11" fillId="0" borderId="0" xfId="20" applyFont="1" applyAlignment="1">
      <alignment horizontal="right"/>
      <protection/>
    </xf>
    <xf numFmtId="3" fontId="11" fillId="0" borderId="57" xfId="21" applyNumberFormat="1" applyFont="1" applyBorder="1">
      <alignment/>
      <protection/>
    </xf>
    <xf numFmtId="172" fontId="4" fillId="0" borderId="24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27" fillId="0" borderId="55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172" fontId="4" fillId="0" borderId="21" xfId="0" applyNumberFormat="1" applyFont="1" applyBorder="1" applyAlignment="1">
      <alignment/>
    </xf>
    <xf numFmtId="172" fontId="4" fillId="0" borderId="58" xfId="0" applyNumberFormat="1" applyFont="1" applyBorder="1" applyAlignment="1">
      <alignment/>
    </xf>
    <xf numFmtId="0" fontId="4" fillId="0" borderId="19" xfId="0" applyFont="1" applyBorder="1" applyAlignment="1" quotePrefix="1">
      <alignment horizontal="left"/>
    </xf>
    <xf numFmtId="172" fontId="0" fillId="0" borderId="0" xfId="0" applyNumberFormat="1" applyAlignment="1">
      <alignment/>
    </xf>
    <xf numFmtId="1" fontId="4" fillId="2" borderId="2" xfId="0" applyNumberFormat="1" applyFont="1" applyFill="1" applyBorder="1" applyAlignment="1" quotePrefix="1">
      <alignment horizontal="right" wrapText="1"/>
    </xf>
    <xf numFmtId="172" fontId="0" fillId="0" borderId="1" xfId="0" applyNumberFormat="1" applyBorder="1" applyAlignment="1">
      <alignment horizontal="right"/>
    </xf>
    <xf numFmtId="172" fontId="7" fillId="0" borderId="1" xfId="0" applyNumberFormat="1" applyFont="1" applyBorder="1" applyAlignment="1">
      <alignment horizontal="right"/>
    </xf>
    <xf numFmtId="172" fontId="4" fillId="0" borderId="32" xfId="0" applyNumberFormat="1" applyFont="1" applyBorder="1" applyAlignment="1">
      <alignment horizontal="right"/>
    </xf>
    <xf numFmtId="172" fontId="4" fillId="0" borderId="41" xfId="0" applyNumberFormat="1" applyFont="1" applyBorder="1" applyAlignment="1">
      <alignment/>
    </xf>
    <xf numFmtId="172" fontId="4" fillId="0" borderId="26" xfId="0" applyNumberFormat="1" applyFont="1" applyBorder="1" applyAlignment="1">
      <alignment/>
    </xf>
    <xf numFmtId="0" fontId="4" fillId="0" borderId="26" xfId="0" applyFont="1" applyFill="1" applyBorder="1" applyAlignment="1">
      <alignment/>
    </xf>
    <xf numFmtId="172" fontId="4" fillId="0" borderId="4" xfId="0" applyNumberFormat="1" applyFont="1" applyBorder="1" applyAlignment="1">
      <alignment/>
    </xf>
    <xf numFmtId="172" fontId="0" fillId="0" borderId="3" xfId="0" applyNumberFormat="1" applyBorder="1" applyAlignment="1">
      <alignment horizontal="center" textRotation="90" wrapText="1"/>
    </xf>
    <xf numFmtId="10" fontId="0" fillId="0" borderId="1" xfId="0" applyNumberFormat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46" xfId="0" applyNumberFormat="1" applyBorder="1" applyAlignment="1">
      <alignment horizontal="center" textRotation="90" wrapText="1"/>
    </xf>
    <xf numFmtId="172" fontId="0" fillId="0" borderId="23" xfId="0" applyNumberFormat="1" applyBorder="1" applyAlignment="1">
      <alignment horizontal="right"/>
    </xf>
    <xf numFmtId="10" fontId="0" fillId="0" borderId="23" xfId="0" applyNumberFormat="1" applyBorder="1" applyAlignment="1">
      <alignment/>
    </xf>
    <xf numFmtId="172" fontId="0" fillId="0" borderId="60" xfId="0" applyNumberFormat="1" applyBorder="1" applyAlignment="1">
      <alignment/>
    </xf>
    <xf numFmtId="172" fontId="4" fillId="0" borderId="61" xfId="0" applyNumberFormat="1" applyFont="1" applyBorder="1" applyAlignment="1">
      <alignment/>
    </xf>
    <xf numFmtId="49" fontId="4" fillId="0" borderId="62" xfId="0" applyNumberFormat="1" applyFont="1" applyBorder="1" applyAlignment="1" quotePrefix="1">
      <alignment horizontal="center" vertical="center" wrapText="1"/>
    </xf>
    <xf numFmtId="10" fontId="4" fillId="0" borderId="32" xfId="0" applyNumberFormat="1" applyFont="1" applyBorder="1" applyAlignment="1">
      <alignment/>
    </xf>
    <xf numFmtId="0" fontId="4" fillId="0" borderId="63" xfId="0" applyFont="1" applyBorder="1" applyAlignment="1">
      <alignment/>
    </xf>
    <xf numFmtId="172" fontId="4" fillId="0" borderId="64" xfId="0" applyNumberFormat="1" applyFont="1" applyBorder="1" applyAlignment="1">
      <alignment/>
    </xf>
    <xf numFmtId="172" fontId="4" fillId="0" borderId="65" xfId="0" applyNumberFormat="1" applyFont="1" applyBorder="1" applyAlignment="1">
      <alignment/>
    </xf>
    <xf numFmtId="172" fontId="4" fillId="0" borderId="66" xfId="0" applyNumberFormat="1" applyFont="1" applyBorder="1" applyAlignment="1">
      <alignment/>
    </xf>
    <xf numFmtId="0" fontId="4" fillId="0" borderId="67" xfId="0" applyFont="1" applyBorder="1" applyAlignment="1">
      <alignment/>
    </xf>
    <xf numFmtId="0" fontId="4" fillId="0" borderId="68" xfId="0" applyFont="1" applyBorder="1" applyAlignment="1">
      <alignment/>
    </xf>
    <xf numFmtId="0" fontId="4" fillId="0" borderId="69" xfId="0" applyFont="1" applyBorder="1" applyAlignment="1">
      <alignment/>
    </xf>
    <xf numFmtId="172" fontId="0" fillId="0" borderId="11" xfId="0" applyNumberFormat="1" applyBorder="1" applyAlignment="1">
      <alignment horizontal="center" textRotation="90" wrapText="1"/>
    </xf>
    <xf numFmtId="172" fontId="0" fillId="0" borderId="24" xfId="0" applyNumberFormat="1" applyBorder="1" applyAlignment="1">
      <alignment horizontal="left"/>
    </xf>
    <xf numFmtId="172" fontId="0" fillId="0" borderId="24" xfId="0" applyNumberFormat="1" applyBorder="1" applyAlignment="1">
      <alignment horizontal="right"/>
    </xf>
    <xf numFmtId="172" fontId="4" fillId="0" borderId="70" xfId="0" applyNumberFormat="1" applyFont="1" applyBorder="1" applyAlignment="1">
      <alignment/>
    </xf>
    <xf numFmtId="172" fontId="0" fillId="0" borderId="68" xfId="0" applyNumberFormat="1" applyBorder="1" applyAlignment="1">
      <alignment/>
    </xf>
    <xf numFmtId="49" fontId="4" fillId="0" borderId="71" xfId="0" applyNumberFormat="1" applyFont="1" applyBorder="1" applyAlignment="1">
      <alignment horizontal="center" textRotation="90" wrapText="1"/>
    </xf>
    <xf numFmtId="49" fontId="4" fillId="0" borderId="72" xfId="0" applyNumberFormat="1" applyFont="1" applyBorder="1" applyAlignment="1">
      <alignment horizontal="center" textRotation="90" wrapText="1"/>
    </xf>
    <xf numFmtId="49" fontId="4" fillId="0" borderId="37" xfId="0" applyNumberFormat="1" applyFont="1" applyBorder="1" applyAlignment="1">
      <alignment horizontal="center" textRotation="90" wrapText="1"/>
    </xf>
    <xf numFmtId="172" fontId="4" fillId="0" borderId="73" xfId="0" applyNumberFormat="1" applyFont="1" applyBorder="1" applyAlignment="1">
      <alignment/>
    </xf>
    <xf numFmtId="172" fontId="4" fillId="0" borderId="74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67" xfId="0" applyNumberFormat="1" applyFont="1" applyBorder="1" applyAlignment="1">
      <alignment/>
    </xf>
    <xf numFmtId="10" fontId="0" fillId="0" borderId="43" xfId="0" applyNumberFormat="1" applyBorder="1" applyAlignment="1">
      <alignment/>
    </xf>
    <xf numFmtId="10" fontId="0" fillId="0" borderId="75" xfId="0" applyNumberFormat="1" applyBorder="1" applyAlignment="1">
      <alignment/>
    </xf>
    <xf numFmtId="10" fontId="0" fillId="0" borderId="76" xfId="0" applyNumberFormat="1" applyBorder="1" applyAlignment="1">
      <alignment/>
    </xf>
    <xf numFmtId="0" fontId="0" fillId="0" borderId="0" xfId="0" applyBorder="1" applyAlignment="1">
      <alignment horizontal="left"/>
    </xf>
    <xf numFmtId="3" fontId="11" fillId="0" borderId="57" xfId="20" applyNumberFormat="1" applyFont="1" applyBorder="1">
      <alignment/>
      <protection/>
    </xf>
    <xf numFmtId="3" fontId="8" fillId="0" borderId="0" xfId="20" applyNumberFormat="1">
      <alignment/>
      <protection/>
    </xf>
    <xf numFmtId="3" fontId="8" fillId="0" borderId="0" xfId="21" applyNumberFormat="1">
      <alignment/>
      <protection/>
    </xf>
    <xf numFmtId="0" fontId="4" fillId="2" borderId="2" xfId="0" applyFont="1" applyFill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3" fontId="19" fillId="2" borderId="1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 wrapText="1"/>
    </xf>
    <xf numFmtId="3" fontId="3" fillId="2" borderId="1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2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2" fillId="2" borderId="0" xfId="0" applyNumberFormat="1" applyFont="1" applyFill="1" applyBorder="1" applyAlignment="1" quotePrefix="1">
      <alignment/>
    </xf>
    <xf numFmtId="0" fontId="17" fillId="0" borderId="1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22" fillId="2" borderId="0" xfId="0" applyNumberFormat="1" applyFont="1" applyFill="1" applyBorder="1" applyAlignment="1" quotePrefix="1">
      <alignment horizontal="left"/>
    </xf>
    <xf numFmtId="0" fontId="7" fillId="0" borderId="1" xfId="0" applyFont="1" applyBorder="1" applyAlignment="1">
      <alignment/>
    </xf>
    <xf numFmtId="191" fontId="7" fillId="0" borderId="1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3" fillId="2" borderId="0" xfId="0" applyNumberFormat="1" applyFont="1" applyFill="1" applyBorder="1" applyAlignment="1" quotePrefix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3" fillId="2" borderId="0" xfId="0" applyNumberFormat="1" applyFont="1" applyFill="1" applyBorder="1" applyAlignment="1" quotePrefix="1">
      <alignment horizontal="right"/>
    </xf>
    <xf numFmtId="0" fontId="3" fillId="0" borderId="1" xfId="0" applyFont="1" applyBorder="1" applyAlignment="1">
      <alignment horizontal="right"/>
    </xf>
    <xf numFmtId="3" fontId="7" fillId="2" borderId="0" xfId="0" applyNumberFormat="1" applyFont="1" applyFill="1" applyBorder="1" applyAlignment="1" quotePrefix="1">
      <alignment horizontal="left"/>
    </xf>
    <xf numFmtId="3" fontId="7" fillId="2" borderId="0" xfId="0" applyNumberFormat="1" applyFont="1" applyFill="1" applyBorder="1" applyAlignment="1">
      <alignment horizontal="left"/>
    </xf>
    <xf numFmtId="3" fontId="7" fillId="0" borderId="23" xfId="0" applyNumberFormat="1" applyFont="1" applyBorder="1" applyAlignment="1">
      <alignment/>
    </xf>
    <xf numFmtId="3" fontId="3" fillId="0" borderId="46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2" borderId="0" xfId="0" applyFont="1" applyFill="1" applyBorder="1" applyAlignment="1" quotePrefix="1">
      <alignment horizontal="right"/>
    </xf>
    <xf numFmtId="191" fontId="3" fillId="0" borderId="1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2" borderId="26" xfId="0" applyNumberFormat="1" applyFont="1" applyFill="1" applyBorder="1" applyAlignment="1" quotePrefix="1">
      <alignment horizontal="left"/>
    </xf>
    <xf numFmtId="3" fontId="3" fillId="0" borderId="26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26" xfId="0" applyNumberFormat="1" applyFont="1" applyBorder="1" applyAlignment="1">
      <alignment horizontal="center" wrapText="1"/>
    </xf>
    <xf numFmtId="197" fontId="25" fillId="0" borderId="0" xfId="0" applyNumberFormat="1" applyFont="1" applyBorder="1" applyAlignment="1">
      <alignment horizontal="center" vertical="center"/>
    </xf>
    <xf numFmtId="197" fontId="25" fillId="0" borderId="1" xfId="0" applyNumberFormat="1" applyFont="1" applyBorder="1" applyAlignment="1">
      <alignment horizontal="center" vertical="center"/>
    </xf>
    <xf numFmtId="197" fontId="4" fillId="0" borderId="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197" fontId="7" fillId="0" borderId="1" xfId="0" applyNumberFormat="1" applyFont="1" applyBorder="1" applyAlignment="1">
      <alignment horizontal="center"/>
    </xf>
    <xf numFmtId="197" fontId="0" fillId="0" borderId="0" xfId="0" applyNumberFormat="1" applyBorder="1" applyAlignment="1">
      <alignment/>
    </xf>
    <xf numFmtId="197" fontId="0" fillId="0" borderId="1" xfId="0" applyNumberFormat="1" applyBorder="1" applyAlignment="1">
      <alignment/>
    </xf>
    <xf numFmtId="197" fontId="0" fillId="0" borderId="0" xfId="0" applyNumberFormat="1" applyBorder="1" applyAlignment="1">
      <alignment horizontal="left"/>
    </xf>
    <xf numFmtId="197" fontId="0" fillId="0" borderId="1" xfId="0" applyNumberFormat="1" applyBorder="1" applyAlignment="1">
      <alignment horizontal="right"/>
    </xf>
    <xf numFmtId="197" fontId="0" fillId="0" borderId="0" xfId="0" applyNumberFormat="1" applyBorder="1" applyAlignment="1">
      <alignment horizontal="right"/>
    </xf>
    <xf numFmtId="197" fontId="3" fillId="0" borderId="26" xfId="0" applyNumberFormat="1" applyFont="1" applyBorder="1" applyAlignment="1">
      <alignment horizontal="center"/>
    </xf>
    <xf numFmtId="197" fontId="3" fillId="0" borderId="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/>
    </xf>
    <xf numFmtId="197" fontId="3" fillId="0" borderId="0" xfId="0" applyNumberFormat="1" applyFont="1" applyBorder="1" applyAlignment="1">
      <alignment horizontal="center"/>
    </xf>
    <xf numFmtId="197" fontId="0" fillId="0" borderId="0" xfId="0" applyNumberFormat="1" applyBorder="1" applyAlignment="1" quotePrefix="1">
      <alignment horizontal="left"/>
    </xf>
    <xf numFmtId="197" fontId="0" fillId="0" borderId="1" xfId="0" applyNumberFormat="1" applyBorder="1" applyAlignment="1">
      <alignment horizontal="left"/>
    </xf>
    <xf numFmtId="197" fontId="4" fillId="0" borderId="0" xfId="0" applyNumberFormat="1" applyFont="1" applyBorder="1" applyAlignment="1">
      <alignment horizontal="center" vertical="center"/>
    </xf>
    <xf numFmtId="197" fontId="21" fillId="0" borderId="1" xfId="0" applyNumberFormat="1" applyFont="1" applyBorder="1" applyAlignment="1">
      <alignment horizontal="center" vertical="center"/>
    </xf>
    <xf numFmtId="197" fontId="2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7" fontId="3" fillId="0" borderId="0" xfId="0" applyNumberFormat="1" applyFont="1" applyBorder="1" applyAlignment="1" quotePrefix="1">
      <alignment horizontal="left"/>
    </xf>
    <xf numFmtId="197" fontId="2" fillId="0" borderId="0" xfId="0" applyNumberFormat="1" applyFont="1" applyBorder="1" applyAlignment="1">
      <alignment/>
    </xf>
    <xf numFmtId="197" fontId="2" fillId="0" borderId="1" xfId="0" applyNumberFormat="1" applyFont="1" applyBorder="1" applyAlignment="1">
      <alignment/>
    </xf>
    <xf numFmtId="197" fontId="3" fillId="0" borderId="26" xfId="0" applyNumberFormat="1" applyFont="1" applyBorder="1" applyAlignment="1">
      <alignment horizontal="right"/>
    </xf>
    <xf numFmtId="197" fontId="3" fillId="0" borderId="0" xfId="0" applyNumberFormat="1" applyFont="1" applyBorder="1" applyAlignment="1" quotePrefix="1">
      <alignment horizontal="left" vertical="center"/>
    </xf>
    <xf numFmtId="197" fontId="2" fillId="0" borderId="1" xfId="0" applyNumberFormat="1" applyFont="1" applyBorder="1" applyAlignment="1">
      <alignment vertical="center"/>
    </xf>
    <xf numFmtId="197" fontId="2" fillId="0" borderId="0" xfId="0" applyNumberFormat="1" applyFont="1" applyBorder="1" applyAlignment="1">
      <alignment vertical="center"/>
    </xf>
    <xf numFmtId="197" fontId="3" fillId="0" borderId="0" xfId="0" applyNumberFormat="1" applyFont="1" applyBorder="1" applyAlignment="1">
      <alignment/>
    </xf>
    <xf numFmtId="197" fontId="3" fillId="0" borderId="2" xfId="0" applyNumberFormat="1" applyFont="1" applyBorder="1" applyAlignment="1">
      <alignment horizontal="center"/>
    </xf>
    <xf numFmtId="197" fontId="3" fillId="0" borderId="2" xfId="0" applyNumberFormat="1" applyFont="1" applyBorder="1" applyAlignment="1">
      <alignment horizontal="right"/>
    </xf>
    <xf numFmtId="197" fontId="2" fillId="0" borderId="3" xfId="0" applyNumberFormat="1" applyFont="1" applyBorder="1" applyAlignment="1">
      <alignment vertical="center"/>
    </xf>
    <xf numFmtId="197" fontId="3" fillId="0" borderId="2" xfId="0" applyNumberFormat="1" applyFont="1" applyBorder="1" applyAlignment="1" quotePrefix="1">
      <alignment horizontal="center"/>
    </xf>
    <xf numFmtId="3" fontId="3" fillId="0" borderId="2" xfId="0" applyNumberFormat="1" applyFont="1" applyBorder="1" applyAlignment="1">
      <alignment/>
    </xf>
    <xf numFmtId="197" fontId="4" fillId="0" borderId="0" xfId="0" applyNumberFormat="1" applyFont="1" applyBorder="1" applyAlignment="1">
      <alignment horizontal="left" vertical="center"/>
    </xf>
    <xf numFmtId="197" fontId="25" fillId="0" borderId="3" xfId="0" applyNumberFormat="1" applyFont="1" applyBorder="1" applyAlignment="1">
      <alignment horizontal="center" vertical="center"/>
    </xf>
    <xf numFmtId="197" fontId="25" fillId="0" borderId="26" xfId="0" applyNumberFormat="1" applyFont="1" applyBorder="1" applyAlignment="1">
      <alignment horizontal="center" vertical="center"/>
    </xf>
    <xf numFmtId="197" fontId="26" fillId="0" borderId="50" xfId="0" applyNumberFormat="1" applyFont="1" applyBorder="1" applyAlignment="1">
      <alignment horizontal="center" vertical="center"/>
    </xf>
    <xf numFmtId="197" fontId="26" fillId="0" borderId="1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horizontal="right"/>
    </xf>
    <xf numFmtId="197" fontId="21" fillId="0" borderId="77" xfId="0" applyNumberFormat="1" applyFont="1" applyBorder="1" applyAlignment="1">
      <alignment horizontal="center" vertical="center"/>
    </xf>
    <xf numFmtId="197" fontId="21" fillId="0" borderId="78" xfId="0" applyNumberFormat="1" applyFont="1" applyBorder="1" applyAlignment="1">
      <alignment horizontal="right" vertical="center"/>
    </xf>
    <xf numFmtId="197" fontId="0" fillId="0" borderId="10" xfId="0" applyNumberFormat="1" applyBorder="1" applyAlignment="1">
      <alignment/>
    </xf>
    <xf numFmtId="3" fontId="28" fillId="0" borderId="0" xfId="0" applyNumberFormat="1" applyFont="1" applyAlignment="1">
      <alignment/>
    </xf>
    <xf numFmtId="197" fontId="0" fillId="0" borderId="13" xfId="0" applyNumberFormat="1" applyBorder="1" applyAlignment="1" quotePrefix="1">
      <alignment horizontal="left"/>
    </xf>
    <xf numFmtId="3" fontId="2" fillId="0" borderId="13" xfId="0" applyNumberFormat="1" applyFont="1" applyBorder="1" applyAlignment="1">
      <alignment/>
    </xf>
    <xf numFmtId="3" fontId="2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/>
    </xf>
    <xf numFmtId="172" fontId="0" fillId="0" borderId="1" xfId="0" applyNumberFormat="1" applyFont="1" applyBorder="1" applyAlignment="1">
      <alignment horizontal="right"/>
    </xf>
    <xf numFmtId="172" fontId="4" fillId="0" borderId="2" xfId="0" applyNumberFormat="1" applyFont="1" applyBorder="1" applyAlignment="1">
      <alignment horizontal="right"/>
    </xf>
    <xf numFmtId="172" fontId="4" fillId="0" borderId="1" xfId="0" applyNumberFormat="1" applyFont="1" applyBorder="1" applyAlignment="1">
      <alignment horizontal="right"/>
    </xf>
    <xf numFmtId="172" fontId="4" fillId="0" borderId="64" xfId="0" applyNumberFormat="1" applyFont="1" applyBorder="1" applyAlignment="1">
      <alignment horizontal="right"/>
    </xf>
    <xf numFmtId="172" fontId="4" fillId="0" borderId="34" xfId="0" applyNumberFormat="1" applyFont="1" applyBorder="1" applyAlignment="1">
      <alignment horizontal="right"/>
    </xf>
    <xf numFmtId="49" fontId="4" fillId="0" borderId="15" xfId="0" applyNumberFormat="1" applyFont="1" applyBorder="1" applyAlignment="1" quotePrefix="1">
      <alignment horizontal="center" textRotation="90" wrapText="1"/>
    </xf>
    <xf numFmtId="0" fontId="0" fillId="0" borderId="76" xfId="0" applyBorder="1" applyAlignment="1">
      <alignment/>
    </xf>
    <xf numFmtId="0" fontId="0" fillId="0" borderId="79" xfId="0" applyBorder="1" applyAlignment="1">
      <alignment/>
    </xf>
    <xf numFmtId="172" fontId="0" fillId="0" borderId="80" xfId="0" applyNumberFormat="1" applyBorder="1" applyAlignment="1">
      <alignment/>
    </xf>
    <xf numFmtId="0" fontId="0" fillId="0" borderId="32" xfId="0" applyBorder="1" applyAlignment="1">
      <alignment/>
    </xf>
    <xf numFmtId="172" fontId="0" fillId="2" borderId="80" xfId="0" applyNumberFormat="1" applyFill="1" applyBorder="1" applyAlignment="1">
      <alignment/>
    </xf>
    <xf numFmtId="172" fontId="4" fillId="2" borderId="32" xfId="0" applyNumberFormat="1" applyFont="1" applyFill="1" applyBorder="1" applyAlignment="1">
      <alignment/>
    </xf>
    <xf numFmtId="0" fontId="0" fillId="2" borderId="32" xfId="0" applyFill="1" applyBorder="1" applyAlignment="1">
      <alignment/>
    </xf>
    <xf numFmtId="172" fontId="4" fillId="0" borderId="80" xfId="0" applyNumberFormat="1" applyFont="1" applyBorder="1" applyAlignment="1">
      <alignment/>
    </xf>
    <xf numFmtId="0" fontId="4" fillId="3" borderId="32" xfId="0" applyFont="1" applyFill="1" applyBorder="1" applyAlignment="1">
      <alignment/>
    </xf>
    <xf numFmtId="0" fontId="4" fillId="0" borderId="32" xfId="0" applyFont="1" applyBorder="1" applyAlignment="1">
      <alignment/>
    </xf>
    <xf numFmtId="172" fontId="0" fillId="0" borderId="81" xfId="0" applyNumberFormat="1" applyBorder="1" applyAlignment="1">
      <alignment/>
    </xf>
    <xf numFmtId="172" fontId="4" fillId="0" borderId="82" xfId="0" applyNumberFormat="1" applyFont="1" applyBorder="1" applyAlignment="1">
      <alignment/>
    </xf>
    <xf numFmtId="0" fontId="1" fillId="0" borderId="4" xfId="0" applyFont="1" applyBorder="1" applyAlignment="1">
      <alignment horizontal="centerContinuous"/>
    </xf>
    <xf numFmtId="1" fontId="3" fillId="0" borderId="29" xfId="19" applyNumberFormat="1" applyFont="1" applyBorder="1" applyAlignment="1">
      <alignment horizontal="center" wrapText="1"/>
      <protection/>
    </xf>
    <xf numFmtId="1" fontId="3" fillId="0" borderId="26" xfId="19" applyNumberFormat="1" applyFont="1" applyBorder="1" applyAlignment="1">
      <alignment horizontal="center" wrapText="1"/>
      <protection/>
    </xf>
    <xf numFmtId="1" fontId="3" fillId="0" borderId="4" xfId="19" applyNumberFormat="1" applyFont="1" applyBorder="1" applyAlignment="1">
      <alignment horizontal="center" wrapText="1"/>
      <protection/>
    </xf>
    <xf numFmtId="0" fontId="0" fillId="2" borderId="2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20" applyFont="1" applyAlignment="1">
      <alignment horizontal="center"/>
      <protection/>
    </xf>
    <xf numFmtId="0" fontId="10" fillId="3" borderId="0" xfId="2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UDGET2001" xfId="19"/>
    <cellStyle name="Normal_Secretariat Salaries_Dpt" xfId="20"/>
    <cellStyle name="Normal_Travel_Dp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rase\Local%20Settings\Temporary%20Internet%20Files\OLK2C\2000%20TB_EP%20Alloc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diction for 2000"/>
      <sheetName val="spend to june 2000"/>
      <sheetName val="Salaries Dpt"/>
      <sheetName val="Travel Dpt"/>
      <sheetName val="FAS"/>
      <sheetName val="CPM"/>
      <sheetName val="SMS"/>
      <sheetName val="%Overhead"/>
      <sheetName val="SMS Alloc June"/>
      <sheetName val="CPM Alloc June"/>
      <sheetName val="Total Allocation"/>
    </sheetNames>
    <sheetDataSet>
      <sheetData sheetId="2">
        <row r="13">
          <cell r="D13">
            <v>243.45551</v>
          </cell>
        </row>
      </sheetData>
      <sheetData sheetId="3">
        <row r="22">
          <cell r="D22">
            <v>14.4556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8"/>
  <sheetViews>
    <sheetView showZeros="0" workbookViewId="0" topLeftCell="C4">
      <pane ySplit="1200" topLeftCell="BM1" activePane="bottomLeft" state="split"/>
      <selection pane="topLeft" activeCell="K4" sqref="K1:M16384"/>
      <selection pane="bottomLeft" activeCell="M13" sqref="M13"/>
    </sheetView>
  </sheetViews>
  <sheetFormatPr defaultColWidth="9.140625" defaultRowHeight="12.75" outlineLevelRow="2" outlineLevelCol="1"/>
  <cols>
    <col min="1" max="1" width="10.8515625" style="294" customWidth="1"/>
    <col min="2" max="2" width="1.28515625" style="295" customWidth="1"/>
    <col min="3" max="3" width="10.57421875" style="412" customWidth="1" outlineLevel="1"/>
    <col min="4" max="4" width="0.85546875" style="311" customWidth="1" outlineLevel="1"/>
    <col min="5" max="5" width="7.57421875" style="412" customWidth="1" outlineLevel="1"/>
    <col min="6" max="6" width="0.85546875" style="313" customWidth="1" outlineLevel="1"/>
    <col min="7" max="7" width="9.7109375" style="414" customWidth="1"/>
    <col min="8" max="8" width="1.28515625" style="313" customWidth="1"/>
    <col min="9" max="9" width="10.28125" style="414" customWidth="1"/>
    <col min="10" max="10" width="1.7109375" style="311" customWidth="1"/>
    <col min="11" max="11" width="32.7109375" style="583" customWidth="1"/>
    <col min="12" max="12" width="1.421875" style="54" customWidth="1"/>
    <col min="13" max="13" width="9.28125" style="258" customWidth="1"/>
    <col min="14" max="14" width="0.9921875" style="295" customWidth="1"/>
    <col min="15" max="15" width="8.00390625" style="296" customWidth="1"/>
    <col min="16" max="16" width="0.9921875" style="294" customWidth="1"/>
    <col min="17" max="16384" width="8.00390625" style="294" customWidth="1"/>
  </cols>
  <sheetData>
    <row r="1" spans="3:14" ht="13.5" customHeight="1">
      <c r="C1" s="294"/>
      <c r="D1" s="295"/>
      <c r="E1" s="294"/>
      <c r="F1" s="295"/>
      <c r="G1" t="s">
        <v>318</v>
      </c>
      <c r="H1"/>
      <c r="I1"/>
      <c r="J1"/>
      <c r="K1"/>
      <c r="L1"/>
      <c r="M1"/>
      <c r="N1"/>
    </row>
    <row r="2" spans="7:14" s="297" customFormat="1" ht="9" customHeight="1">
      <c r="G2" s="298"/>
      <c r="H2" s="298"/>
      <c r="I2" s="298"/>
      <c r="J2" s="298"/>
      <c r="K2" s="498"/>
      <c r="L2" s="498"/>
      <c r="M2" s="498"/>
      <c r="N2" s="298"/>
    </row>
    <row r="3" spans="1:14" ht="13.5" customHeight="1">
      <c r="A3" s="299">
        <v>1999</v>
      </c>
      <c r="C3" s="300" t="s">
        <v>319</v>
      </c>
      <c r="D3" s="301"/>
      <c r="E3" s="300" t="s">
        <v>320</v>
      </c>
      <c r="F3" s="301"/>
      <c r="G3" s="604">
        <v>2000</v>
      </c>
      <c r="H3" s="605"/>
      <c r="I3" s="606"/>
      <c r="J3" s="302"/>
      <c r="K3" s="499" t="s">
        <v>321</v>
      </c>
      <c r="L3" s="500"/>
      <c r="M3" s="501">
        <v>2001</v>
      </c>
      <c r="N3" s="303"/>
    </row>
    <row r="4" spans="1:15" s="309" customFormat="1" ht="25.5" customHeight="1">
      <c r="A4" s="299" t="s">
        <v>322</v>
      </c>
      <c r="B4" s="303"/>
      <c r="C4" s="304">
        <v>36784</v>
      </c>
      <c r="D4" s="301"/>
      <c r="E4" s="305"/>
      <c r="F4" s="301"/>
      <c r="G4" s="306" t="s">
        <v>323</v>
      </c>
      <c r="H4" s="301"/>
      <c r="I4" s="306" t="s">
        <v>324</v>
      </c>
      <c r="J4" s="301"/>
      <c r="K4" s="502" t="s">
        <v>473</v>
      </c>
      <c r="L4" s="503"/>
      <c r="M4" s="504" t="s">
        <v>325</v>
      </c>
      <c r="N4" s="303"/>
      <c r="O4" s="308"/>
    </row>
    <row r="5" spans="1:13" ht="12.75" customHeight="1">
      <c r="A5" s="296"/>
      <c r="C5" s="310"/>
      <c r="E5" s="310"/>
      <c r="F5" s="311"/>
      <c r="G5" s="312"/>
      <c r="I5" s="312"/>
      <c r="K5" s="505" t="s">
        <v>326</v>
      </c>
      <c r="M5" s="506"/>
    </row>
    <row r="6" spans="1:15" s="323" customFormat="1" ht="12.75">
      <c r="A6" s="314">
        <v>10236</v>
      </c>
      <c r="B6" s="315"/>
      <c r="C6" s="316">
        <f>11694+2168-1700</f>
        <v>12162</v>
      </c>
      <c r="D6" s="317"/>
      <c r="E6" s="316">
        <v>100</v>
      </c>
      <c r="F6" s="318"/>
      <c r="G6" s="319">
        <f>+C6+E6</f>
        <v>12262</v>
      </c>
      <c r="H6" s="320"/>
      <c r="I6" s="316">
        <v>12262</v>
      </c>
      <c r="J6" s="318"/>
      <c r="K6" s="507" t="s">
        <v>327</v>
      </c>
      <c r="L6" s="508"/>
      <c r="M6" s="509">
        <v>12403.12</v>
      </c>
      <c r="N6" s="315"/>
      <c r="O6" s="322"/>
    </row>
    <row r="7" spans="1:15" s="297" customFormat="1" ht="11.25">
      <c r="A7" s="314">
        <v>1316</v>
      </c>
      <c r="B7" s="324"/>
      <c r="C7" s="316">
        <v>1700</v>
      </c>
      <c r="D7" s="317"/>
      <c r="E7" s="316">
        <v>0</v>
      </c>
      <c r="F7" s="317"/>
      <c r="G7" s="319">
        <f>+C7+E7</f>
        <v>1700</v>
      </c>
      <c r="H7" s="317"/>
      <c r="I7" s="316">
        <v>1700</v>
      </c>
      <c r="J7" s="317"/>
      <c r="K7" s="510" t="s">
        <v>474</v>
      </c>
      <c r="L7" s="511"/>
      <c r="M7" s="509">
        <v>0</v>
      </c>
      <c r="N7" s="324"/>
      <c r="O7" s="296"/>
    </row>
    <row r="8" spans="1:15" s="297" customFormat="1" ht="11.25">
      <c r="A8" s="325">
        <v>-1700</v>
      </c>
      <c r="B8" s="324"/>
      <c r="C8" s="326">
        <v>0</v>
      </c>
      <c r="D8" s="327"/>
      <c r="E8" s="326"/>
      <c r="F8" s="324"/>
      <c r="G8" s="328">
        <f>+C8+E8</f>
        <v>0</v>
      </c>
      <c r="H8" s="327"/>
      <c r="I8" s="329">
        <v>0</v>
      </c>
      <c r="J8" s="327"/>
      <c r="K8" s="510" t="s">
        <v>475</v>
      </c>
      <c r="L8" s="512"/>
      <c r="M8" s="513">
        <v>0</v>
      </c>
      <c r="N8" s="324"/>
      <c r="O8" s="296"/>
    </row>
    <row r="9" spans="1:15" s="323" customFormat="1" ht="12.75">
      <c r="A9" s="330">
        <f>SUM(A6:A8)</f>
        <v>9852</v>
      </c>
      <c r="B9" s="331"/>
      <c r="C9" s="332">
        <f>SUM(C6:C7)</f>
        <v>13862</v>
      </c>
      <c r="D9" s="333"/>
      <c r="E9" s="332">
        <f>SUM(E6:E7)</f>
        <v>100</v>
      </c>
      <c r="F9" s="333"/>
      <c r="G9" s="332">
        <f>SUM(G6:G8)</f>
        <v>13962</v>
      </c>
      <c r="H9" s="333"/>
      <c r="I9" s="332">
        <f>SUM(I6:I8)</f>
        <v>13962</v>
      </c>
      <c r="J9" s="333"/>
      <c r="K9" s="514" t="s">
        <v>328</v>
      </c>
      <c r="L9" s="515"/>
      <c r="M9" s="516">
        <v>12403.12</v>
      </c>
      <c r="N9" s="331"/>
      <c r="O9" s="322"/>
    </row>
    <row r="10" spans="1:15" s="309" customFormat="1" ht="11.25">
      <c r="A10" s="330">
        <v>112</v>
      </c>
      <c r="B10" s="334"/>
      <c r="C10" s="332">
        <f>86+16</f>
        <v>102</v>
      </c>
      <c r="D10" s="333"/>
      <c r="E10" s="332">
        <v>3</v>
      </c>
      <c r="F10" s="333"/>
      <c r="G10" s="332">
        <f>+C10+E10</f>
        <v>105</v>
      </c>
      <c r="H10" s="333"/>
      <c r="I10" s="332">
        <v>150</v>
      </c>
      <c r="J10" s="333"/>
      <c r="K10" s="517" t="s">
        <v>329</v>
      </c>
      <c r="L10" s="518"/>
      <c r="M10" s="516">
        <v>95</v>
      </c>
      <c r="N10" s="334"/>
      <c r="O10" s="308"/>
    </row>
    <row r="11" spans="1:14" ht="11.25" outlineLevel="1">
      <c r="A11" s="314">
        <v>5868</v>
      </c>
      <c r="B11" s="324"/>
      <c r="C11" s="316">
        <f>2031+63+8+8</f>
        <v>2110</v>
      </c>
      <c r="D11" s="317"/>
      <c r="E11" s="316">
        <v>1268</v>
      </c>
      <c r="F11" s="317"/>
      <c r="G11" s="316">
        <f>+C11+E11</f>
        <v>3378</v>
      </c>
      <c r="H11" s="317"/>
      <c r="I11" s="316">
        <v>3150</v>
      </c>
      <c r="J11" s="317"/>
      <c r="K11" s="519" t="s">
        <v>330</v>
      </c>
      <c r="L11" s="511"/>
      <c r="M11" s="509">
        <v>3150</v>
      </c>
      <c r="N11" s="324"/>
    </row>
    <row r="12" spans="1:14" ht="11.25" outlineLevel="1">
      <c r="A12" s="314">
        <v>1030</v>
      </c>
      <c r="B12" s="324"/>
      <c r="C12" s="316">
        <f>688+130</f>
        <v>818</v>
      </c>
      <c r="D12" s="317"/>
      <c r="E12" s="316"/>
      <c r="F12" s="317"/>
      <c r="G12" s="316">
        <f>+C12+E12</f>
        <v>818</v>
      </c>
      <c r="H12" s="317"/>
      <c r="I12" s="316">
        <v>0</v>
      </c>
      <c r="J12" s="317"/>
      <c r="K12" s="519" t="s">
        <v>331</v>
      </c>
      <c r="L12" s="511"/>
      <c r="M12" s="509"/>
      <c r="N12" s="324"/>
    </row>
    <row r="13" spans="1:14" ht="12.75" outlineLevel="2">
      <c r="A13" s="337">
        <v>70</v>
      </c>
      <c r="B13" s="315"/>
      <c r="C13" s="316">
        <v>2662</v>
      </c>
      <c r="D13" s="317"/>
      <c r="E13" s="316"/>
      <c r="F13" s="318"/>
      <c r="G13" s="316">
        <f>+C13+E13</f>
        <v>2662</v>
      </c>
      <c r="H13" s="320"/>
      <c r="I13" s="338">
        <v>2394</v>
      </c>
      <c r="J13" s="317"/>
      <c r="K13" s="520" t="s">
        <v>66</v>
      </c>
      <c r="L13" s="511"/>
      <c r="M13" s="521">
        <v>3070</v>
      </c>
      <c r="N13" s="315"/>
    </row>
    <row r="14" spans="1:14" ht="11.25" outlineLevel="2">
      <c r="A14" s="314"/>
      <c r="B14" s="324"/>
      <c r="C14" s="316"/>
      <c r="D14" s="317"/>
      <c r="E14" s="316"/>
      <c r="F14" s="317"/>
      <c r="G14" s="316"/>
      <c r="H14" s="317"/>
      <c r="I14" s="316"/>
      <c r="J14" s="317"/>
      <c r="K14" s="520" t="s">
        <v>127</v>
      </c>
      <c r="L14" s="511"/>
      <c r="M14" s="509"/>
      <c r="N14" s="324"/>
    </row>
    <row r="15" spans="1:15" s="341" customFormat="1" ht="12.75" outlineLevel="1">
      <c r="A15" s="325">
        <f>SUM(A13:A14)</f>
        <v>70</v>
      </c>
      <c r="B15" s="321"/>
      <c r="C15" s="325">
        <f>SUM(C13:C14)</f>
        <v>2662</v>
      </c>
      <c r="D15" s="317"/>
      <c r="E15" s="325">
        <f>SUM(E13:E14)</f>
        <v>0</v>
      </c>
      <c r="F15" s="317"/>
      <c r="G15" s="325">
        <f>SUM(G13:G14)</f>
        <v>2662</v>
      </c>
      <c r="H15" s="339"/>
      <c r="I15" s="325">
        <f>SUM(I13:I14)</f>
        <v>2394</v>
      </c>
      <c r="J15" s="317"/>
      <c r="K15" s="519" t="s">
        <v>476</v>
      </c>
      <c r="L15" s="508"/>
      <c r="M15" s="521">
        <v>3070</v>
      </c>
      <c r="N15" s="321"/>
      <c r="O15" s="340"/>
    </row>
    <row r="16" spans="1:15" s="345" customFormat="1" ht="12.75">
      <c r="A16" s="342">
        <f>SUM(A11:A12)+A15</f>
        <v>6968</v>
      </c>
      <c r="B16" s="331"/>
      <c r="C16" s="342">
        <f>SUM(C11:C12)+C15</f>
        <v>5590</v>
      </c>
      <c r="D16" s="333"/>
      <c r="E16" s="342">
        <f>SUM(E11:E12)+E15</f>
        <v>1268</v>
      </c>
      <c r="F16" s="333"/>
      <c r="G16" s="342">
        <f>SUM(G11:G12)+G15</f>
        <v>6858</v>
      </c>
      <c r="H16" s="333"/>
      <c r="I16" s="342">
        <f>SUM(I11:I12)+I15</f>
        <v>5544</v>
      </c>
      <c r="J16" s="343"/>
      <c r="K16" s="519" t="s">
        <v>477</v>
      </c>
      <c r="L16" s="508"/>
      <c r="M16" s="521"/>
      <c r="N16" s="331"/>
      <c r="O16" s="344"/>
    </row>
    <row r="17" spans="1:15" s="347" customFormat="1" ht="11.25" outlineLevel="1">
      <c r="A17" s="330"/>
      <c r="B17" s="334"/>
      <c r="C17" s="332">
        <f>595+90+1+275</f>
        <v>961</v>
      </c>
      <c r="D17" s="333"/>
      <c r="E17" s="332">
        <v>300</v>
      </c>
      <c r="F17" s="333"/>
      <c r="G17" s="332">
        <f>+C17+E17</f>
        <v>1261</v>
      </c>
      <c r="H17" s="333"/>
      <c r="I17" s="332"/>
      <c r="J17" s="343"/>
      <c r="K17" s="514" t="s">
        <v>332</v>
      </c>
      <c r="L17" s="515"/>
      <c r="M17" s="522">
        <v>5965</v>
      </c>
      <c r="N17" s="334"/>
      <c r="O17" s="346"/>
    </row>
    <row r="18" spans="1:15" s="347" customFormat="1" ht="11.25" outlineLevel="1">
      <c r="A18" s="330"/>
      <c r="B18" s="334"/>
      <c r="C18" s="332">
        <f>92+14</f>
        <v>106</v>
      </c>
      <c r="D18" s="333"/>
      <c r="E18" s="332">
        <v>33</v>
      </c>
      <c r="F18" s="333"/>
      <c r="G18" s="332">
        <f>+C18+E18</f>
        <v>139</v>
      </c>
      <c r="H18" s="333"/>
      <c r="I18" s="332"/>
      <c r="J18" s="343"/>
      <c r="K18" s="523" t="s">
        <v>333</v>
      </c>
      <c r="L18" s="518"/>
      <c r="M18" s="516">
        <v>1100</v>
      </c>
      <c r="N18" s="334"/>
      <c r="O18" s="346"/>
    </row>
    <row r="19" spans="1:15" s="345" customFormat="1" ht="12.75">
      <c r="A19" s="330">
        <v>1315</v>
      </c>
      <c r="B19" s="331"/>
      <c r="C19" s="332">
        <f>SUM(C17:C18)</f>
        <v>1067</v>
      </c>
      <c r="D19" s="333"/>
      <c r="E19" s="332">
        <f>SUM(E17:E18)</f>
        <v>333</v>
      </c>
      <c r="F19" s="333"/>
      <c r="G19" s="332">
        <f>SUM(G17:G18)</f>
        <v>1400</v>
      </c>
      <c r="H19" s="333"/>
      <c r="I19" s="332">
        <v>1200</v>
      </c>
      <c r="J19" s="343"/>
      <c r="K19" s="523" t="s">
        <v>334</v>
      </c>
      <c r="L19" s="518"/>
      <c r="M19" s="516">
        <v>100</v>
      </c>
      <c r="N19" s="331"/>
      <c r="O19" s="344"/>
    </row>
    <row r="20" spans="1:15" s="345" customFormat="1" ht="12.75">
      <c r="A20" s="330"/>
      <c r="B20" s="331"/>
      <c r="C20" s="332"/>
      <c r="D20" s="333"/>
      <c r="E20" s="332"/>
      <c r="F20" s="333"/>
      <c r="G20" s="332"/>
      <c r="H20" s="333"/>
      <c r="I20" s="332"/>
      <c r="J20" s="343"/>
      <c r="K20" s="514" t="s">
        <v>335</v>
      </c>
      <c r="L20" s="524"/>
      <c r="M20" s="516">
        <v>1200</v>
      </c>
      <c r="N20" s="331"/>
      <c r="O20" s="344"/>
    </row>
    <row r="21" spans="1:15" s="309" customFormat="1" ht="11.25">
      <c r="A21" s="348"/>
      <c r="B21" s="303"/>
      <c r="C21" s="335">
        <v>93</v>
      </c>
      <c r="D21" s="349"/>
      <c r="E21" s="335"/>
      <c r="F21" s="349"/>
      <c r="G21" s="332">
        <f aca="true" t="shared" si="0" ref="G21:G27">+C21+E21</f>
        <v>93</v>
      </c>
      <c r="H21" s="349"/>
      <c r="I21" s="335"/>
      <c r="J21" s="349"/>
      <c r="K21" s="514" t="s">
        <v>336</v>
      </c>
      <c r="L21" s="518"/>
      <c r="M21" s="516">
        <v>350</v>
      </c>
      <c r="N21" s="303"/>
      <c r="O21" s="308"/>
    </row>
    <row r="22" spans="1:15" s="309" customFormat="1" ht="11.25">
      <c r="A22" s="348"/>
      <c r="B22" s="303"/>
      <c r="C22" s="335">
        <v>40</v>
      </c>
      <c r="D22" s="349"/>
      <c r="E22" s="335">
        <v>210</v>
      </c>
      <c r="F22" s="349"/>
      <c r="G22" s="332">
        <f t="shared" si="0"/>
        <v>250</v>
      </c>
      <c r="H22" s="349"/>
      <c r="I22" s="335"/>
      <c r="J22" s="349"/>
      <c r="K22" s="525" t="s">
        <v>478</v>
      </c>
      <c r="L22" s="526"/>
      <c r="M22" s="527">
        <v>880</v>
      </c>
      <c r="N22" s="303"/>
      <c r="O22" s="308"/>
    </row>
    <row r="23" spans="1:15" s="345" customFormat="1" ht="12.75">
      <c r="A23" s="330">
        <v>22</v>
      </c>
      <c r="B23" s="331"/>
      <c r="C23" s="332">
        <v>11</v>
      </c>
      <c r="D23" s="333"/>
      <c r="E23" s="332"/>
      <c r="F23" s="333"/>
      <c r="G23" s="332">
        <f t="shared" si="0"/>
        <v>11</v>
      </c>
      <c r="H23" s="333"/>
      <c r="I23" s="332"/>
      <c r="J23" s="343"/>
      <c r="K23" s="525" t="s">
        <v>479</v>
      </c>
      <c r="L23" s="524"/>
      <c r="M23" s="516">
        <v>100</v>
      </c>
      <c r="N23" s="331"/>
      <c r="O23" s="344"/>
    </row>
    <row r="24" spans="1:62" s="351" customFormat="1" ht="11.25">
      <c r="A24" s="330">
        <v>577</v>
      </c>
      <c r="B24" s="334"/>
      <c r="C24" s="332">
        <v>85</v>
      </c>
      <c r="D24" s="333"/>
      <c r="E24" s="332">
        <v>165</v>
      </c>
      <c r="F24" s="333"/>
      <c r="G24" s="332">
        <f t="shared" si="0"/>
        <v>250</v>
      </c>
      <c r="H24" s="333"/>
      <c r="I24" s="332">
        <v>150</v>
      </c>
      <c r="J24" s="350"/>
      <c r="K24" s="514" t="s">
        <v>337</v>
      </c>
      <c r="L24" s="518"/>
      <c r="M24" s="516">
        <v>50</v>
      </c>
      <c r="N24" s="334"/>
      <c r="O24" s="308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</row>
    <row r="25" spans="1:62" s="347" customFormat="1" ht="11.25">
      <c r="A25" s="330">
        <v>76</v>
      </c>
      <c r="B25" s="334"/>
      <c r="C25" s="332">
        <f>7+114-18</f>
        <v>103</v>
      </c>
      <c r="D25" s="333"/>
      <c r="E25" s="332">
        <v>0</v>
      </c>
      <c r="F25" s="333"/>
      <c r="G25" s="332">
        <f t="shared" si="0"/>
        <v>103</v>
      </c>
      <c r="H25" s="333"/>
      <c r="I25" s="332">
        <v>50</v>
      </c>
      <c r="J25" s="343"/>
      <c r="K25" s="525" t="s">
        <v>480</v>
      </c>
      <c r="L25" s="526"/>
      <c r="M25" s="527"/>
      <c r="N25" s="334"/>
      <c r="O25" s="308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09"/>
      <c r="AP25" s="309"/>
      <c r="AQ25" s="309"/>
      <c r="AR25" s="309"/>
      <c r="AS25" s="309"/>
      <c r="AT25" s="309"/>
      <c r="AU25" s="309"/>
      <c r="AV25" s="309"/>
      <c r="AW25" s="309"/>
      <c r="AX25" s="309"/>
      <c r="AY25" s="309"/>
      <c r="AZ25" s="309"/>
      <c r="BA25" s="309"/>
      <c r="BB25" s="309"/>
      <c r="BC25" s="309"/>
      <c r="BD25" s="309"/>
      <c r="BE25" s="309"/>
      <c r="BF25" s="309"/>
      <c r="BG25" s="309"/>
      <c r="BH25" s="309"/>
      <c r="BI25" s="309"/>
      <c r="BJ25" s="309"/>
    </row>
    <row r="26" spans="1:15" s="309" customFormat="1" ht="11.25">
      <c r="A26" s="348">
        <v>2324</v>
      </c>
      <c r="B26" s="303"/>
      <c r="C26" s="335"/>
      <c r="D26" s="349"/>
      <c r="E26" s="335"/>
      <c r="F26" s="349"/>
      <c r="G26" s="332">
        <f t="shared" si="0"/>
        <v>0</v>
      </c>
      <c r="H26" s="349"/>
      <c r="I26" s="335"/>
      <c r="J26" s="349"/>
      <c r="K26" s="525" t="s">
        <v>338</v>
      </c>
      <c r="L26" s="526"/>
      <c r="M26" s="527"/>
      <c r="N26" s="303"/>
      <c r="O26" s="308"/>
    </row>
    <row r="27" spans="1:15" s="309" customFormat="1" ht="11.25">
      <c r="A27" s="348">
        <v>3380</v>
      </c>
      <c r="B27" s="303"/>
      <c r="C27" s="335"/>
      <c r="D27" s="349"/>
      <c r="E27" s="335"/>
      <c r="F27" s="349"/>
      <c r="G27" s="332">
        <f t="shared" si="0"/>
        <v>0</v>
      </c>
      <c r="H27" s="349"/>
      <c r="I27" s="335"/>
      <c r="J27" s="349"/>
      <c r="K27" s="525" t="s">
        <v>339</v>
      </c>
      <c r="L27" s="526"/>
      <c r="M27" s="527"/>
      <c r="N27" s="303"/>
      <c r="O27" s="308"/>
    </row>
    <row r="28" spans="1:15" s="309" customFormat="1" ht="12.75" customHeight="1">
      <c r="A28" s="330"/>
      <c r="B28" s="334"/>
      <c r="C28" s="332"/>
      <c r="D28" s="333"/>
      <c r="E28" s="332"/>
      <c r="F28" s="333"/>
      <c r="G28" s="332"/>
      <c r="H28" s="334"/>
      <c r="I28" s="352"/>
      <c r="J28" s="349"/>
      <c r="K28" s="523" t="s">
        <v>340</v>
      </c>
      <c r="L28" s="518"/>
      <c r="M28" s="516"/>
      <c r="N28" s="334"/>
      <c r="O28" s="308"/>
    </row>
    <row r="29" spans="1:17" s="309" customFormat="1" ht="12.75" customHeight="1">
      <c r="A29" s="330">
        <v>1328</v>
      </c>
      <c r="B29" s="334"/>
      <c r="C29" s="353"/>
      <c r="D29" s="354"/>
      <c r="E29" s="353"/>
      <c r="F29" s="334"/>
      <c r="G29" s="332">
        <f>-A30</f>
        <v>673</v>
      </c>
      <c r="H29" s="354"/>
      <c r="I29" s="353">
        <v>673</v>
      </c>
      <c r="J29" s="355"/>
      <c r="K29" s="528" t="s">
        <v>341</v>
      </c>
      <c r="L29" s="529"/>
      <c r="M29" s="516">
        <v>598</v>
      </c>
      <c r="N29" s="334"/>
      <c r="O29" s="308"/>
      <c r="Q29" s="356"/>
    </row>
    <row r="30" spans="1:15" s="309" customFormat="1" ht="12.75" customHeight="1">
      <c r="A30" s="357">
        <v>-673</v>
      </c>
      <c r="B30" s="334"/>
      <c r="C30" s="358">
        <v>673</v>
      </c>
      <c r="D30" s="354"/>
      <c r="E30" s="358">
        <v>0</v>
      </c>
      <c r="F30" s="359"/>
      <c r="G30" s="360">
        <f>-M94</f>
        <v>0</v>
      </c>
      <c r="H30" s="354"/>
      <c r="I30" s="358"/>
      <c r="J30" s="355"/>
      <c r="K30" s="528" t="s">
        <v>342</v>
      </c>
      <c r="L30" s="529"/>
      <c r="M30" s="530"/>
      <c r="N30" s="334"/>
      <c r="O30" s="308"/>
    </row>
    <row r="31" spans="1:13" ht="11.25">
      <c r="A31" s="296"/>
      <c r="C31" s="312"/>
      <c r="E31" s="312"/>
      <c r="G31" s="336"/>
      <c r="I31" s="336"/>
      <c r="K31" s="531" t="s">
        <v>343</v>
      </c>
      <c r="L31" s="515"/>
      <c r="M31" s="532">
        <v>21641.12</v>
      </c>
    </row>
    <row r="32" spans="1:62" s="365" customFormat="1" ht="12.75">
      <c r="A32" s="361">
        <f>SUM(A19:A30)+A16+A10+A9</f>
        <v>25281</v>
      </c>
      <c r="B32" s="331"/>
      <c r="C32" s="362">
        <f>SUM(C19:C30)+C16+C10+C9</f>
        <v>21626</v>
      </c>
      <c r="D32" s="333"/>
      <c r="E32" s="362">
        <f>SUM(E19:E25)+E16+E10+E9</f>
        <v>2079</v>
      </c>
      <c r="F32" s="333"/>
      <c r="G32" s="363">
        <f>SUM(G19:G30)+G16+G10+G9</f>
        <v>23705</v>
      </c>
      <c r="H32" s="333"/>
      <c r="I32" s="363">
        <f>SUM(I19:I30)+I16+I10+I9</f>
        <v>21729</v>
      </c>
      <c r="J32" s="343"/>
      <c r="K32" s="533"/>
      <c r="L32" s="42"/>
      <c r="M32" s="534"/>
      <c r="N32" s="364"/>
      <c r="O32" s="296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</row>
    <row r="33" spans="1:13" s="297" customFormat="1" ht="9" customHeight="1">
      <c r="A33" s="312"/>
      <c r="C33" s="312"/>
      <c r="D33" s="312"/>
      <c r="E33" s="312"/>
      <c r="F33" s="312"/>
      <c r="G33" s="312"/>
      <c r="H33" s="336"/>
      <c r="I33" s="312"/>
      <c r="J33" s="312"/>
      <c r="K33" s="533"/>
      <c r="L33" s="42"/>
      <c r="M33" s="534"/>
    </row>
    <row r="34" spans="1:13" ht="12.75">
      <c r="A34" s="366"/>
      <c r="C34" s="312"/>
      <c r="E34" s="312"/>
      <c r="F34" s="311"/>
      <c r="G34" s="312"/>
      <c r="I34" s="312"/>
      <c r="K34" s="533"/>
      <c r="L34" s="42"/>
      <c r="M34" s="534"/>
    </row>
    <row r="35" spans="1:13" ht="12.75">
      <c r="A35" s="366"/>
      <c r="C35" s="312"/>
      <c r="E35" s="312"/>
      <c r="F35" s="311"/>
      <c r="G35" s="312"/>
      <c r="I35" s="312"/>
      <c r="K35" s="533"/>
      <c r="L35" s="42"/>
      <c r="M35" s="534"/>
    </row>
    <row r="36" spans="1:14" ht="13.5" customHeight="1">
      <c r="A36" s="299">
        <v>1999</v>
      </c>
      <c r="C36" s="300" t="s">
        <v>319</v>
      </c>
      <c r="D36" s="301"/>
      <c r="E36" s="300" t="s">
        <v>320</v>
      </c>
      <c r="F36" s="301"/>
      <c r="G36" s="604">
        <v>2000</v>
      </c>
      <c r="H36" s="605"/>
      <c r="I36" s="606"/>
      <c r="J36" s="302"/>
      <c r="K36" s="533"/>
      <c r="L36" s="42"/>
      <c r="M36" s="534"/>
      <c r="N36" s="303"/>
    </row>
    <row r="37" spans="1:15" s="309" customFormat="1" ht="23.25" customHeight="1">
      <c r="A37" s="299" t="s">
        <v>322</v>
      </c>
      <c r="B37" s="303"/>
      <c r="C37" s="300"/>
      <c r="D37" s="301"/>
      <c r="E37" s="300"/>
      <c r="F37" s="301"/>
      <c r="G37" s="306" t="s">
        <v>323</v>
      </c>
      <c r="H37" s="301"/>
      <c r="I37" s="306" t="s">
        <v>324</v>
      </c>
      <c r="J37" s="301"/>
      <c r="K37" s="533"/>
      <c r="L37" s="42"/>
      <c r="M37" s="534"/>
      <c r="N37" s="303"/>
      <c r="O37" s="308"/>
    </row>
    <row r="38" spans="1:14" ht="12" customHeight="1">
      <c r="A38" s="367"/>
      <c r="C38" s="310"/>
      <c r="E38" s="310"/>
      <c r="F38" s="311"/>
      <c r="G38" s="310"/>
      <c r="I38" s="310"/>
      <c r="K38" s="533"/>
      <c r="L38" s="42"/>
      <c r="M38" s="534"/>
      <c r="N38" s="368"/>
    </row>
    <row r="39" spans="1:14" ht="11.25" customHeight="1">
      <c r="A39" s="366"/>
      <c r="C39" s="312"/>
      <c r="E39" s="312"/>
      <c r="F39" s="311"/>
      <c r="G39" s="312"/>
      <c r="I39" s="312"/>
      <c r="K39" s="533"/>
      <c r="L39" s="42"/>
      <c r="M39" s="534"/>
      <c r="N39" s="368"/>
    </row>
    <row r="40" spans="1:14" ht="11.25" customHeight="1">
      <c r="A40" s="366"/>
      <c r="C40" s="312"/>
      <c r="E40" s="312"/>
      <c r="F40" s="311"/>
      <c r="G40" s="312"/>
      <c r="I40" s="312"/>
      <c r="K40" s="533"/>
      <c r="L40" s="42"/>
      <c r="M40" s="534"/>
      <c r="N40" s="369"/>
    </row>
    <row r="41" spans="1:14" ht="11.25" outlineLevel="1" collapsed="1">
      <c r="A41" s="366">
        <v>6852</v>
      </c>
      <c r="C41" s="312">
        <f>5267-18</f>
        <v>5249</v>
      </c>
      <c r="E41" s="312">
        <v>1775</v>
      </c>
      <c r="F41" s="311"/>
      <c r="G41" s="319">
        <f>+C41+E41</f>
        <v>7024</v>
      </c>
      <c r="I41" s="312">
        <v>6810</v>
      </c>
      <c r="K41" s="499" t="s">
        <v>344</v>
      </c>
      <c r="L41" s="500"/>
      <c r="M41" s="501">
        <v>2001</v>
      </c>
      <c r="N41" s="370"/>
    </row>
    <row r="42" spans="1:15" s="379" customFormat="1" ht="11.25" customHeight="1" outlineLevel="1">
      <c r="A42" s="372">
        <v>200</v>
      </c>
      <c r="B42" s="373"/>
      <c r="C42" s="374">
        <f>43+80</f>
        <v>123</v>
      </c>
      <c r="D42" s="375"/>
      <c r="E42" s="374"/>
      <c r="F42" s="375"/>
      <c r="G42" s="374">
        <f>+C42+E42</f>
        <v>123</v>
      </c>
      <c r="H42" s="376"/>
      <c r="I42" s="374">
        <v>400</v>
      </c>
      <c r="J42" s="375"/>
      <c r="K42" s="502" t="s">
        <v>473</v>
      </c>
      <c r="L42" s="503"/>
      <c r="M42" s="535" t="s">
        <v>325</v>
      </c>
      <c r="N42" s="377"/>
      <c r="O42" s="378"/>
    </row>
    <row r="43" spans="1:15" s="379" customFormat="1" ht="11.25" customHeight="1" outlineLevel="1">
      <c r="A43" s="372"/>
      <c r="B43" s="373"/>
      <c r="C43" s="374">
        <f>41+34</f>
        <v>75</v>
      </c>
      <c r="D43" s="375"/>
      <c r="E43" s="374">
        <v>195</v>
      </c>
      <c r="F43" s="375"/>
      <c r="G43" s="374">
        <f>+C43+E43</f>
        <v>270</v>
      </c>
      <c r="H43" s="376"/>
      <c r="I43" s="374">
        <v>400</v>
      </c>
      <c r="J43" s="375"/>
      <c r="K43" s="536" t="s">
        <v>345</v>
      </c>
      <c r="L43" s="537"/>
      <c r="M43" s="536"/>
      <c r="N43" s="377"/>
      <c r="O43" s="378"/>
    </row>
    <row r="44" spans="1:15" s="379" customFormat="1" ht="11.25" customHeight="1" outlineLevel="1">
      <c r="A44" s="372"/>
      <c r="B44" s="373"/>
      <c r="C44" s="374"/>
      <c r="D44" s="375"/>
      <c r="E44" s="374"/>
      <c r="F44" s="375"/>
      <c r="G44" s="374">
        <f>+C44+E44</f>
        <v>0</v>
      </c>
      <c r="H44" s="376"/>
      <c r="I44" s="374">
        <v>200</v>
      </c>
      <c r="J44" s="375"/>
      <c r="K44" s="538" t="s">
        <v>346</v>
      </c>
      <c r="L44" s="537"/>
      <c r="M44" s="536"/>
      <c r="N44" s="377"/>
      <c r="O44" s="378"/>
    </row>
    <row r="45" spans="1:15" s="379" customFormat="1" ht="11.25" customHeight="1" outlineLevel="1">
      <c r="A45" s="374"/>
      <c r="B45" s="373"/>
      <c r="C45" s="374"/>
      <c r="D45" s="375"/>
      <c r="E45" s="374"/>
      <c r="F45" s="375"/>
      <c r="G45" s="374"/>
      <c r="H45" s="376"/>
      <c r="I45" s="374"/>
      <c r="J45" s="375"/>
      <c r="K45" s="539" t="s">
        <v>347</v>
      </c>
      <c r="L45" s="540"/>
      <c r="M45" s="539"/>
      <c r="N45" s="377"/>
      <c r="O45" s="378"/>
    </row>
    <row r="46" spans="1:15" s="379" customFormat="1" ht="11.25" customHeight="1" outlineLevel="1">
      <c r="A46" s="374"/>
      <c r="B46" s="373"/>
      <c r="C46" s="374"/>
      <c r="D46" s="375"/>
      <c r="E46" s="374"/>
      <c r="F46" s="375"/>
      <c r="G46" s="374"/>
      <c r="H46" s="376"/>
      <c r="I46" s="374"/>
      <c r="J46" s="375"/>
      <c r="K46" s="541" t="s">
        <v>348</v>
      </c>
      <c r="L46" s="542"/>
      <c r="M46" s="541">
        <v>7250</v>
      </c>
      <c r="N46" s="377"/>
      <c r="O46" s="378"/>
    </row>
    <row r="47" spans="1:14" ht="11.25" customHeight="1" outlineLevel="1">
      <c r="A47" s="312">
        <f>SUM(A42:A44)</f>
        <v>200</v>
      </c>
      <c r="C47" s="312">
        <f>SUM(C42:C44)</f>
        <v>198</v>
      </c>
      <c r="E47" s="312">
        <f>SUM(E42:E44)</f>
        <v>195</v>
      </c>
      <c r="F47" s="311"/>
      <c r="G47" s="312">
        <f>SUM(G42:G44)</f>
        <v>393</v>
      </c>
      <c r="I47" s="312">
        <f>SUM(I42:I44)</f>
        <v>1000</v>
      </c>
      <c r="K47" s="541" t="s">
        <v>481</v>
      </c>
      <c r="L47" s="542"/>
      <c r="M47" s="541">
        <v>870</v>
      </c>
      <c r="N47" s="370"/>
    </row>
    <row r="48" spans="1:14" ht="11.25" customHeight="1" outlineLevel="1">
      <c r="A48" s="366">
        <v>638</v>
      </c>
      <c r="C48" s="312">
        <f>571+11</f>
        <v>582</v>
      </c>
      <c r="E48" s="312">
        <v>248</v>
      </c>
      <c r="F48" s="311"/>
      <c r="G48" s="319">
        <f aca="true" t="shared" si="1" ref="G48:G58">+C48+E48</f>
        <v>830</v>
      </c>
      <c r="I48" s="312">
        <v>800</v>
      </c>
      <c r="K48" s="541" t="s">
        <v>482</v>
      </c>
      <c r="L48" s="542"/>
      <c r="M48" s="541">
        <v>630</v>
      </c>
      <c r="N48" s="370"/>
    </row>
    <row r="49" spans="1:14" ht="12.75" outlineLevel="1">
      <c r="A49" s="366">
        <v>601</v>
      </c>
      <c r="C49" s="312">
        <v>341</v>
      </c>
      <c r="E49" s="312">
        <v>179</v>
      </c>
      <c r="F49" s="311"/>
      <c r="G49" s="319">
        <f t="shared" si="1"/>
        <v>520</v>
      </c>
      <c r="I49" s="312">
        <v>700</v>
      </c>
      <c r="K49" s="541" t="s">
        <v>483</v>
      </c>
      <c r="L49" s="542"/>
      <c r="M49" s="541">
        <v>550</v>
      </c>
      <c r="N49" s="370"/>
    </row>
    <row r="50" spans="1:62" s="385" customFormat="1" ht="12.75" outlineLevel="1">
      <c r="A50" s="380">
        <v>461</v>
      </c>
      <c r="B50" s="381"/>
      <c r="C50" s="382">
        <f>311-13</f>
        <v>298</v>
      </c>
      <c r="D50" s="383"/>
      <c r="E50" s="382">
        <v>132</v>
      </c>
      <c r="F50" s="311"/>
      <c r="G50" s="319">
        <f t="shared" si="1"/>
        <v>430</v>
      </c>
      <c r="H50" s="384"/>
      <c r="I50" s="382">
        <v>450</v>
      </c>
      <c r="J50" s="383"/>
      <c r="K50" s="541" t="s">
        <v>484</v>
      </c>
      <c r="L50" s="542"/>
      <c r="M50" s="541">
        <v>450</v>
      </c>
      <c r="N50" s="370"/>
      <c r="O50" s="296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</row>
    <row r="51" spans="1:14" ht="12.75" outlineLevel="1">
      <c r="A51" s="366">
        <v>461</v>
      </c>
      <c r="C51" s="312">
        <f>5+7+13+16+2+35+3</f>
        <v>81</v>
      </c>
      <c r="E51" s="312">
        <v>169</v>
      </c>
      <c r="F51" s="311"/>
      <c r="G51" s="319">
        <f t="shared" si="1"/>
        <v>250</v>
      </c>
      <c r="I51" s="312">
        <v>250</v>
      </c>
      <c r="K51" s="543" t="s">
        <v>485</v>
      </c>
      <c r="L51" s="542"/>
      <c r="M51" s="541">
        <v>400</v>
      </c>
      <c r="N51" s="386"/>
    </row>
    <row r="52" spans="1:14" ht="12.75" outlineLevel="1">
      <c r="A52" s="366">
        <v>429</v>
      </c>
      <c r="C52" s="312">
        <f>26+297</f>
        <v>323</v>
      </c>
      <c r="E52" s="312">
        <v>77</v>
      </c>
      <c r="F52" s="311"/>
      <c r="G52" s="319">
        <f t="shared" si="1"/>
        <v>400</v>
      </c>
      <c r="I52" s="312">
        <v>400</v>
      </c>
      <c r="K52" s="541" t="s">
        <v>486</v>
      </c>
      <c r="L52" s="544"/>
      <c r="M52" s="545">
        <v>250</v>
      </c>
      <c r="N52" s="370"/>
    </row>
    <row r="53" spans="1:14" ht="12.75" outlineLevel="1">
      <c r="A53" s="366">
        <v>348</v>
      </c>
      <c r="C53" s="312">
        <v>152</v>
      </c>
      <c r="E53" s="312">
        <v>223</v>
      </c>
      <c r="F53" s="311"/>
      <c r="G53" s="319">
        <f t="shared" si="1"/>
        <v>375</v>
      </c>
      <c r="I53" s="336">
        <v>450</v>
      </c>
      <c r="K53" s="541" t="s">
        <v>487</v>
      </c>
      <c r="L53" s="542"/>
      <c r="M53" s="541">
        <v>250</v>
      </c>
      <c r="N53" s="370"/>
    </row>
    <row r="54" spans="1:14" ht="12.75" outlineLevel="1">
      <c r="A54" s="366">
        <v>231</v>
      </c>
      <c r="C54" s="312">
        <v>109</v>
      </c>
      <c r="E54" s="312">
        <v>91</v>
      </c>
      <c r="F54" s="311"/>
      <c r="G54" s="319">
        <f t="shared" si="1"/>
        <v>200</v>
      </c>
      <c r="I54" s="336">
        <v>350</v>
      </c>
      <c r="K54" s="541" t="s">
        <v>488</v>
      </c>
      <c r="L54" s="542"/>
      <c r="M54" s="541">
        <v>210</v>
      </c>
      <c r="N54" s="370"/>
    </row>
    <row r="55" spans="1:14" ht="12.75" outlineLevel="1">
      <c r="A55" s="366">
        <v>218</v>
      </c>
      <c r="C55" s="312">
        <f>116-30</f>
        <v>86</v>
      </c>
      <c r="E55" s="312">
        <v>14</v>
      </c>
      <c r="F55" s="311"/>
      <c r="G55" s="319">
        <f t="shared" si="1"/>
        <v>100</v>
      </c>
      <c r="I55" s="336">
        <v>100</v>
      </c>
      <c r="K55" s="541" t="s">
        <v>489</v>
      </c>
      <c r="L55" s="542"/>
      <c r="M55" s="541">
        <v>210</v>
      </c>
      <c r="N55" s="370"/>
    </row>
    <row r="56" spans="1:62" s="309" customFormat="1" ht="12.75" outlineLevel="1">
      <c r="A56" s="366">
        <v>157</v>
      </c>
      <c r="B56" s="387"/>
      <c r="C56" s="312">
        <v>77</v>
      </c>
      <c r="D56" s="311"/>
      <c r="E56" s="312">
        <v>48</v>
      </c>
      <c r="F56" s="311"/>
      <c r="G56" s="319">
        <f t="shared" si="1"/>
        <v>125</v>
      </c>
      <c r="H56" s="311"/>
      <c r="I56" s="312">
        <v>165</v>
      </c>
      <c r="J56" s="349"/>
      <c r="K56" s="541" t="s">
        <v>490</v>
      </c>
      <c r="L56" s="542"/>
      <c r="M56" s="541">
        <v>150</v>
      </c>
      <c r="N56" s="370"/>
      <c r="O56" s="296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</row>
    <row r="57" spans="1:14" ht="12.75" outlineLevel="1">
      <c r="A57" s="366">
        <v>143</v>
      </c>
      <c r="B57" s="387"/>
      <c r="C57" s="312">
        <v>149</v>
      </c>
      <c r="E57" s="312">
        <v>51</v>
      </c>
      <c r="F57" s="311"/>
      <c r="G57" s="319">
        <f t="shared" si="1"/>
        <v>200</v>
      </c>
      <c r="H57" s="311"/>
      <c r="I57" s="312">
        <v>200</v>
      </c>
      <c r="K57" s="541" t="s">
        <v>491</v>
      </c>
      <c r="L57" s="542"/>
      <c r="M57" s="541">
        <v>70</v>
      </c>
      <c r="N57" s="370"/>
    </row>
    <row r="58" spans="1:14" ht="12.75">
      <c r="A58" s="388">
        <v>111</v>
      </c>
      <c r="B58" s="387"/>
      <c r="C58" s="389">
        <v>133</v>
      </c>
      <c r="E58" s="389">
        <v>87</v>
      </c>
      <c r="F58" s="311"/>
      <c r="G58" s="328">
        <f t="shared" si="1"/>
        <v>220</v>
      </c>
      <c r="H58" s="390"/>
      <c r="I58" s="389">
        <v>220</v>
      </c>
      <c r="J58" s="349"/>
      <c r="K58" s="546" t="s">
        <v>353</v>
      </c>
      <c r="L58" s="547">
        <v>0</v>
      </c>
      <c r="M58" s="548">
        <v>11290</v>
      </c>
      <c r="N58" s="370"/>
    </row>
    <row r="59" spans="1:15" s="394" customFormat="1" ht="11.25" outlineLevel="1">
      <c r="A59" s="391">
        <f>SUM(A47:A58)+A41</f>
        <v>10850</v>
      </c>
      <c r="B59" s="295"/>
      <c r="C59" s="391">
        <f>SUM(C47:C58)+C41</f>
        <v>7778</v>
      </c>
      <c r="D59" s="311"/>
      <c r="E59" s="391">
        <f>SUM(E47:E58)+E41</f>
        <v>3289</v>
      </c>
      <c r="F59" s="311"/>
      <c r="G59" s="391">
        <f>SUM(G47:G58)+G41</f>
        <v>11067</v>
      </c>
      <c r="H59" s="313"/>
      <c r="I59" s="391">
        <f>SUM(I47:I58)+I41</f>
        <v>11895</v>
      </c>
      <c r="J59" s="311"/>
      <c r="K59" s="549" t="s">
        <v>339</v>
      </c>
      <c r="L59" s="547"/>
      <c r="M59" s="527"/>
      <c r="N59" s="392">
        <f>SUM(N41:N58)</f>
        <v>0</v>
      </c>
      <c r="O59" s="393"/>
    </row>
    <row r="60" spans="1:14" ht="9.75" customHeight="1">
      <c r="A60" s="366"/>
      <c r="C60" s="312"/>
      <c r="E60" s="312"/>
      <c r="F60" s="311"/>
      <c r="G60" s="312"/>
      <c r="I60" s="312"/>
      <c r="K60" s="550" t="s">
        <v>350</v>
      </c>
      <c r="L60" s="551"/>
      <c r="M60" s="543"/>
      <c r="N60" s="395"/>
    </row>
    <row r="61" spans="1:14" ht="12.75" outlineLevel="1">
      <c r="A61" s="396"/>
      <c r="C61" s="312"/>
      <c r="E61" s="312"/>
      <c r="F61" s="311"/>
      <c r="G61" s="319">
        <f aca="true" t="shared" si="2" ref="G61:G67">+C61+E61</f>
        <v>0</v>
      </c>
      <c r="I61" s="397"/>
      <c r="K61" s="550" t="s">
        <v>351</v>
      </c>
      <c r="L61" s="551"/>
      <c r="M61" s="543">
        <v>700</v>
      </c>
      <c r="N61" s="398"/>
    </row>
    <row r="62" spans="1:14" ht="11.25" customHeight="1" outlineLevel="1">
      <c r="A62" s="366">
        <v>1498</v>
      </c>
      <c r="C62" s="312">
        <v>1096</v>
      </c>
      <c r="E62" s="312">
        <v>494</v>
      </c>
      <c r="F62" s="311"/>
      <c r="G62" s="319">
        <f t="shared" si="2"/>
        <v>1590</v>
      </c>
      <c r="I62" s="312">
        <v>1990</v>
      </c>
      <c r="K62" s="550" t="s">
        <v>352</v>
      </c>
      <c r="L62" s="551"/>
      <c r="M62" s="543"/>
      <c r="N62" s="370"/>
    </row>
    <row r="63" spans="1:14" ht="11.25" customHeight="1" outlineLevel="1">
      <c r="A63" s="366">
        <v>864</v>
      </c>
      <c r="C63" s="312">
        <v>656</v>
      </c>
      <c r="E63" s="312">
        <v>250</v>
      </c>
      <c r="F63" s="311"/>
      <c r="G63" s="319">
        <f t="shared" si="2"/>
        <v>906</v>
      </c>
      <c r="I63" s="312">
        <v>995</v>
      </c>
      <c r="K63" s="550" t="s">
        <v>492</v>
      </c>
      <c r="L63" s="551"/>
      <c r="M63" s="543">
        <v>100</v>
      </c>
      <c r="N63" s="370"/>
    </row>
    <row r="64" spans="1:14" ht="11.25" customHeight="1" outlineLevel="1">
      <c r="A64" s="366">
        <v>860</v>
      </c>
      <c r="C64" s="312"/>
      <c r="E64" s="312">
        <f>800+620</f>
        <v>1420</v>
      </c>
      <c r="F64" s="311"/>
      <c r="G64" s="319">
        <f t="shared" si="2"/>
        <v>1420</v>
      </c>
      <c r="I64" s="312"/>
      <c r="K64" s="550" t="s">
        <v>415</v>
      </c>
      <c r="L64" s="551"/>
      <c r="M64" s="543">
        <v>400</v>
      </c>
      <c r="N64" s="371"/>
    </row>
    <row r="65" spans="1:14" ht="11.25" customHeight="1" outlineLevel="1">
      <c r="A65" s="366">
        <v>586</v>
      </c>
      <c r="C65" s="312">
        <f>148+348</f>
        <v>496</v>
      </c>
      <c r="E65" s="312">
        <v>304</v>
      </c>
      <c r="F65" s="311"/>
      <c r="G65" s="319">
        <f t="shared" si="2"/>
        <v>800</v>
      </c>
      <c r="I65" s="312">
        <v>800</v>
      </c>
      <c r="K65" s="546" t="s">
        <v>493</v>
      </c>
      <c r="L65" s="547"/>
      <c r="M65" s="548">
        <v>1200</v>
      </c>
      <c r="N65" s="370"/>
    </row>
    <row r="66" spans="1:14" ht="12.75" outlineLevel="1">
      <c r="A66" s="366">
        <v>191</v>
      </c>
      <c r="C66" s="312">
        <f>2+1+11</f>
        <v>14</v>
      </c>
      <c r="E66" s="312"/>
      <c r="F66" s="311"/>
      <c r="G66" s="319">
        <f t="shared" si="2"/>
        <v>14</v>
      </c>
      <c r="I66" s="312">
        <v>0</v>
      </c>
      <c r="K66" s="552" t="s">
        <v>354</v>
      </c>
      <c r="L66" s="553"/>
      <c r="M66" s="554"/>
      <c r="N66" s="371"/>
    </row>
    <row r="67" spans="1:14" ht="11.25" outlineLevel="1">
      <c r="A67" s="366"/>
      <c r="C67" s="312"/>
      <c r="E67" s="312">
        <v>440</v>
      </c>
      <c r="F67" s="311"/>
      <c r="G67" s="319">
        <f t="shared" si="2"/>
        <v>440</v>
      </c>
      <c r="I67" s="312">
        <v>640</v>
      </c>
      <c r="K67" s="555" t="s">
        <v>500</v>
      </c>
      <c r="L67" s="556"/>
      <c r="M67" s="557"/>
      <c r="N67" s="371"/>
    </row>
    <row r="68" spans="1:15" s="307" customFormat="1" ht="11.25" customHeight="1" outlineLevel="1">
      <c r="A68" s="399">
        <f>SUM(A62:A67)</f>
        <v>3999</v>
      </c>
      <c r="B68" s="303"/>
      <c r="C68" s="391">
        <f>SUM(C62:C67)</f>
        <v>2262</v>
      </c>
      <c r="D68" s="349"/>
      <c r="E68" s="391">
        <f>SUM(E62:E67)</f>
        <v>2908</v>
      </c>
      <c r="F68" s="349"/>
      <c r="G68" s="391">
        <f>SUM(G62:G67)</f>
        <v>5170</v>
      </c>
      <c r="H68" s="349"/>
      <c r="I68" s="391">
        <f>SUM(I62:I67)</f>
        <v>4425</v>
      </c>
      <c r="J68" s="349"/>
      <c r="K68" s="558" t="s">
        <v>501</v>
      </c>
      <c r="L68" s="542"/>
      <c r="M68" s="541">
        <v>2106</v>
      </c>
      <c r="N68" s="392">
        <f>SUM(N62:N67)</f>
        <v>0</v>
      </c>
      <c r="O68" s="400"/>
    </row>
    <row r="69" spans="1:14" ht="12.75" outlineLevel="1">
      <c r="A69" s="396"/>
      <c r="C69" s="312"/>
      <c r="E69" s="312"/>
      <c r="F69" s="311"/>
      <c r="G69" s="397"/>
      <c r="I69" s="397"/>
      <c r="K69" s="550" t="s">
        <v>355</v>
      </c>
      <c r="L69" s="542"/>
      <c r="M69" s="541">
        <v>940</v>
      </c>
      <c r="N69" s="401"/>
    </row>
    <row r="70" spans="1:14" ht="12.75" outlineLevel="1">
      <c r="A70" s="366">
        <v>408</v>
      </c>
      <c r="C70" s="312">
        <f>594-C91</f>
        <v>258</v>
      </c>
      <c r="E70" s="312">
        <f>1000-C70-G91</f>
        <v>406</v>
      </c>
      <c r="F70" s="311"/>
      <c r="G70" s="319">
        <f>+C70+E70</f>
        <v>664</v>
      </c>
      <c r="I70" s="312">
        <v>976</v>
      </c>
      <c r="K70" s="541" t="s">
        <v>356</v>
      </c>
      <c r="L70" s="542"/>
      <c r="M70" s="541">
        <v>800</v>
      </c>
      <c r="N70" s="371"/>
    </row>
    <row r="71" spans="1:14" ht="11.25" outlineLevel="1">
      <c r="A71" s="366">
        <v>549</v>
      </c>
      <c r="C71" s="312">
        <v>363</v>
      </c>
      <c r="E71" s="312">
        <v>132</v>
      </c>
      <c r="F71" s="311"/>
      <c r="G71" s="319">
        <f>+C71+E71</f>
        <v>495</v>
      </c>
      <c r="I71" s="312">
        <v>525</v>
      </c>
      <c r="K71" s="559" t="s">
        <v>357</v>
      </c>
      <c r="L71" s="560"/>
      <c r="M71" s="559"/>
      <c r="N71" s="370"/>
    </row>
    <row r="72" spans="1:14" ht="11.25" outlineLevel="1">
      <c r="A72" s="366">
        <v>45</v>
      </c>
      <c r="C72" s="312">
        <v>18</v>
      </c>
      <c r="E72" s="312">
        <v>12</v>
      </c>
      <c r="F72" s="311"/>
      <c r="G72" s="319">
        <f>+C72+E72</f>
        <v>30</v>
      </c>
      <c r="I72" s="312">
        <v>50</v>
      </c>
      <c r="K72" s="559" t="s">
        <v>358</v>
      </c>
      <c r="L72" s="560"/>
      <c r="M72" s="559">
        <v>410</v>
      </c>
      <c r="N72" s="370"/>
    </row>
    <row r="73" spans="1:62" s="309" customFormat="1" ht="11.25" outlineLevel="1">
      <c r="A73" s="402">
        <v>91</v>
      </c>
      <c r="B73" s="303"/>
      <c r="C73" s="335"/>
      <c r="D73" s="349"/>
      <c r="E73" s="335"/>
      <c r="F73" s="349"/>
      <c r="G73" s="319">
        <f>+C73+E73</f>
        <v>0</v>
      </c>
      <c r="H73" s="349"/>
      <c r="I73" s="335"/>
      <c r="J73" s="349"/>
      <c r="K73" s="546" t="s">
        <v>359</v>
      </c>
      <c r="L73" s="547">
        <v>0</v>
      </c>
      <c r="M73" s="561">
        <v>4434.4</v>
      </c>
      <c r="N73" s="370"/>
      <c r="O73" s="296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</row>
    <row r="74" spans="1:14" ht="11.25" outlineLevel="1">
      <c r="A74" s="366">
        <v>-125</v>
      </c>
      <c r="C74" s="312"/>
      <c r="E74" s="312"/>
      <c r="F74" s="311"/>
      <c r="G74" s="319">
        <f>+C74+E74</f>
        <v>0</v>
      </c>
      <c r="I74" s="312"/>
      <c r="K74" s="562" t="s">
        <v>27</v>
      </c>
      <c r="L74" s="563"/>
      <c r="M74" s="564"/>
      <c r="N74" s="370"/>
    </row>
    <row r="75" spans="1:62" s="323" customFormat="1" ht="10.5" customHeight="1">
      <c r="A75" s="403">
        <f>SUM(A70:A74)</f>
        <v>968</v>
      </c>
      <c r="B75" s="404"/>
      <c r="C75" s="403">
        <f>SUM(C70:C74)</f>
        <v>639</v>
      </c>
      <c r="D75" s="349"/>
      <c r="E75" s="403">
        <f>SUM(E70:E74)</f>
        <v>550</v>
      </c>
      <c r="F75" s="349"/>
      <c r="G75" s="403">
        <f>SUM(G70:G74)</f>
        <v>1189</v>
      </c>
      <c r="H75" s="405"/>
      <c r="I75" s="403">
        <f>SUM(I70:I74)</f>
        <v>1551</v>
      </c>
      <c r="J75" s="349"/>
      <c r="K75" s="565" t="s">
        <v>502</v>
      </c>
      <c r="L75" s="560"/>
      <c r="M75" s="559">
        <v>673.92</v>
      </c>
      <c r="N75" s="392">
        <f>SUM(N70:N74)</f>
        <v>0</v>
      </c>
      <c r="O75" s="296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</row>
    <row r="76" spans="1:14" ht="12.75" outlineLevel="1">
      <c r="A76" s="396"/>
      <c r="C76" s="312"/>
      <c r="E76" s="312"/>
      <c r="F76" s="311"/>
      <c r="G76" s="397"/>
      <c r="I76" s="397"/>
      <c r="K76" s="541" t="s">
        <v>360</v>
      </c>
      <c r="L76" s="542"/>
      <c r="M76" s="541">
        <v>520</v>
      </c>
      <c r="N76" s="401"/>
    </row>
    <row r="77" spans="1:14" ht="12.75" outlineLevel="1">
      <c r="A77" s="366"/>
      <c r="C77" s="312"/>
      <c r="E77" s="312"/>
      <c r="F77" s="311"/>
      <c r="G77" s="319"/>
      <c r="I77" s="312"/>
      <c r="K77" s="541" t="s">
        <v>361</v>
      </c>
      <c r="L77" s="542"/>
      <c r="M77" s="541">
        <v>50</v>
      </c>
      <c r="N77" s="371"/>
    </row>
    <row r="78" spans="1:14" ht="12.75" outlineLevel="1">
      <c r="A78" s="366"/>
      <c r="C78" s="312"/>
      <c r="E78" s="312"/>
      <c r="F78" s="311"/>
      <c r="G78" s="319"/>
      <c r="I78" s="312"/>
      <c r="K78" s="541" t="s">
        <v>362</v>
      </c>
      <c r="L78" s="542"/>
      <c r="M78" s="541"/>
      <c r="N78" s="370"/>
    </row>
    <row r="79" spans="1:14" ht="12.75" outlineLevel="1">
      <c r="A79" s="366"/>
      <c r="C79" s="312"/>
      <c r="E79" s="312"/>
      <c r="F79" s="311"/>
      <c r="G79" s="319"/>
      <c r="I79" s="312"/>
      <c r="K79" s="541" t="s">
        <v>363</v>
      </c>
      <c r="L79" s="542"/>
      <c r="M79" s="541"/>
      <c r="N79" s="370"/>
    </row>
    <row r="80" spans="1:14" ht="11.25" outlineLevel="1">
      <c r="A80" s="366"/>
      <c r="C80" s="312"/>
      <c r="E80" s="312"/>
      <c r="F80" s="311"/>
      <c r="G80" s="319"/>
      <c r="I80" s="312"/>
      <c r="K80" s="566" t="s">
        <v>364</v>
      </c>
      <c r="L80" s="547">
        <v>0</v>
      </c>
      <c r="M80" s="567">
        <v>1243.92</v>
      </c>
      <c r="N80" s="370"/>
    </row>
    <row r="81" spans="1:62" s="323" customFormat="1" ht="10.5" customHeight="1">
      <c r="A81" s="403">
        <f>SUM(A77:A80)</f>
        <v>0</v>
      </c>
      <c r="B81" s="404"/>
      <c r="C81" s="403">
        <f>SUM(C77:C80)</f>
        <v>0</v>
      </c>
      <c r="D81" s="349"/>
      <c r="E81" s="403">
        <f>SUM(E77:E80)</f>
        <v>0</v>
      </c>
      <c r="F81" s="349"/>
      <c r="G81" s="403">
        <f>SUM(G77:G80)</f>
        <v>0</v>
      </c>
      <c r="H81" s="405"/>
      <c r="I81" s="403">
        <f>SUM(I77:I80)</f>
        <v>0</v>
      </c>
      <c r="J81" s="349"/>
      <c r="K81" s="562" t="s">
        <v>127</v>
      </c>
      <c r="L81" s="563"/>
      <c r="M81" s="568"/>
      <c r="N81" s="392">
        <f>SUM(N77:N80)</f>
        <v>0</v>
      </c>
      <c r="O81" s="296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4"/>
      <c r="AK81" s="294"/>
      <c r="AL81" s="294"/>
      <c r="AM81" s="294"/>
      <c r="AN81" s="294"/>
      <c r="AO81" s="294"/>
      <c r="AP81" s="294"/>
      <c r="AQ81" s="294"/>
      <c r="AR81" s="294"/>
      <c r="AS81" s="294"/>
      <c r="AT81" s="294"/>
      <c r="AU81" s="294"/>
      <c r="AV81" s="294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4"/>
      <c r="BJ81" s="294"/>
    </row>
    <row r="82" spans="1:62" s="323" customFormat="1" ht="10.5" customHeight="1">
      <c r="A82" s="403">
        <f>+A59+A68+A75+A81</f>
        <v>15817</v>
      </c>
      <c r="B82" s="404"/>
      <c r="C82" s="403">
        <f>+C59+C68+C75+C81</f>
        <v>10679</v>
      </c>
      <c r="D82" s="349"/>
      <c r="E82" s="403">
        <f>+E59+E68+E75+E81</f>
        <v>6747</v>
      </c>
      <c r="F82" s="349"/>
      <c r="G82" s="403">
        <f>+G59+G68+G75+G81</f>
        <v>17426</v>
      </c>
      <c r="H82" s="405"/>
      <c r="I82" s="403">
        <f>+I59+I68+I75+I81</f>
        <v>17871</v>
      </c>
      <c r="J82" s="349"/>
      <c r="K82" s="565" t="s">
        <v>502</v>
      </c>
      <c r="L82" s="560"/>
      <c r="M82" s="559"/>
      <c r="N82" s="392"/>
      <c r="O82" s="296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4"/>
      <c r="AK82" s="294"/>
      <c r="AL82" s="294"/>
      <c r="AM82" s="294"/>
      <c r="AN82" s="294"/>
      <c r="AO82" s="294"/>
      <c r="AP82" s="294"/>
      <c r="AQ82" s="294"/>
      <c r="AR82" s="294"/>
      <c r="AS82" s="294"/>
      <c r="AT82" s="294"/>
      <c r="AU82" s="294"/>
      <c r="AV82" s="294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4"/>
      <c r="BJ82" s="294"/>
    </row>
    <row r="83" spans="1:14" ht="12.75">
      <c r="A83" s="366"/>
      <c r="C83" s="312"/>
      <c r="E83" s="312"/>
      <c r="F83" s="311"/>
      <c r="G83" s="312"/>
      <c r="I83" s="406"/>
      <c r="K83" s="550" t="s">
        <v>365</v>
      </c>
      <c r="L83" s="542"/>
      <c r="M83" s="541"/>
      <c r="N83" s="368"/>
    </row>
    <row r="84" spans="1:14" ht="11.25" customHeight="1">
      <c r="A84" s="366">
        <v>1155</v>
      </c>
      <c r="C84" s="312">
        <f>1132-C92</f>
        <v>795</v>
      </c>
      <c r="E84" s="312">
        <f>1650-C84-C92-G85</f>
        <v>358</v>
      </c>
      <c r="F84" s="311"/>
      <c r="G84" s="319">
        <f>+C84+E84</f>
        <v>1153</v>
      </c>
      <c r="I84" s="312">
        <v>1310</v>
      </c>
      <c r="K84" s="541" t="s">
        <v>361</v>
      </c>
      <c r="L84" s="542"/>
      <c r="M84" s="541"/>
      <c r="N84" s="370"/>
    </row>
    <row r="85" spans="1:14" ht="11.25" customHeight="1">
      <c r="A85" s="366">
        <v>101</v>
      </c>
      <c r="C85" s="312">
        <f>3+100</f>
        <v>103</v>
      </c>
      <c r="E85" s="312">
        <v>57</v>
      </c>
      <c r="F85" s="311"/>
      <c r="G85" s="319">
        <f>+C85+E85</f>
        <v>160</v>
      </c>
      <c r="I85" s="312">
        <v>75</v>
      </c>
      <c r="K85" s="550" t="s">
        <v>366</v>
      </c>
      <c r="L85" s="542"/>
      <c r="M85" s="541"/>
      <c r="N85" s="370"/>
    </row>
    <row r="86" spans="1:14" ht="11.25" customHeight="1">
      <c r="A86" s="366">
        <v>31</v>
      </c>
      <c r="C86" s="312"/>
      <c r="E86" s="312"/>
      <c r="F86" s="311"/>
      <c r="G86" s="319">
        <f>+C86+E86</f>
        <v>0</v>
      </c>
      <c r="I86" s="312"/>
      <c r="K86" s="569" t="s">
        <v>367</v>
      </c>
      <c r="L86" s="547">
        <v>0</v>
      </c>
      <c r="M86" s="567">
        <v>0</v>
      </c>
      <c r="N86" s="370"/>
    </row>
    <row r="87" spans="1:62" s="385" customFormat="1" ht="11.25">
      <c r="A87" s="380">
        <v>180</v>
      </c>
      <c r="B87" s="381"/>
      <c r="C87" s="312"/>
      <c r="D87" s="311"/>
      <c r="E87" s="312"/>
      <c r="F87" s="311"/>
      <c r="G87" s="319">
        <f>+C87+E87</f>
        <v>0</v>
      </c>
      <c r="H87" s="384"/>
      <c r="I87" s="382"/>
      <c r="J87" s="311"/>
      <c r="K87" s="566" t="s">
        <v>368</v>
      </c>
      <c r="L87" s="547"/>
      <c r="M87" s="570">
        <v>18168.32</v>
      </c>
      <c r="N87" s="370"/>
      <c r="O87" s="296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94"/>
      <c r="AG87" s="294"/>
      <c r="AH87" s="294"/>
      <c r="AI87" s="294"/>
      <c r="AJ87" s="294"/>
      <c r="AK87" s="294"/>
      <c r="AL87" s="294"/>
      <c r="AM87" s="294"/>
      <c r="AN87" s="294"/>
      <c r="AO87" s="294"/>
      <c r="AP87" s="294"/>
      <c r="AQ87" s="294"/>
      <c r="AR87" s="294"/>
      <c r="AS87" s="294"/>
      <c r="AT87" s="294"/>
      <c r="AU87" s="294"/>
      <c r="AV87" s="294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4"/>
      <c r="BJ87" s="294"/>
    </row>
    <row r="88" spans="1:15" s="307" customFormat="1" ht="11.25" customHeight="1">
      <c r="A88" s="399">
        <f>SUM(A84:A87)</f>
        <v>1467</v>
      </c>
      <c r="B88" s="303"/>
      <c r="C88" s="391">
        <f>SUM(C84:C87)</f>
        <v>898</v>
      </c>
      <c r="D88" s="349"/>
      <c r="E88" s="391">
        <f>SUM(E84:E87)</f>
        <v>415</v>
      </c>
      <c r="F88" s="349"/>
      <c r="G88" s="391">
        <f>SUM(G84:G87)</f>
        <v>1313</v>
      </c>
      <c r="H88" s="349"/>
      <c r="I88" s="391">
        <f>SUM(I84:I87)</f>
        <v>1385</v>
      </c>
      <c r="J88" s="349"/>
      <c r="K88" s="571" t="s">
        <v>369</v>
      </c>
      <c r="L88" s="537"/>
      <c r="M88" s="572"/>
      <c r="N88" s="392">
        <f>SUM(N84:N87)</f>
        <v>0</v>
      </c>
      <c r="O88" s="400"/>
    </row>
    <row r="89" spans="1:14" ht="12.75">
      <c r="A89" s="366"/>
      <c r="C89" s="312"/>
      <c r="E89" s="312"/>
      <c r="F89" s="311"/>
      <c r="G89" s="312"/>
      <c r="I89" s="312"/>
      <c r="K89" s="541" t="s">
        <v>370</v>
      </c>
      <c r="L89" s="542"/>
      <c r="M89" s="541">
        <v>1414.8</v>
      </c>
      <c r="N89" s="368"/>
    </row>
    <row r="90" spans="1:14" ht="12.75">
      <c r="A90" s="366">
        <v>318</v>
      </c>
      <c r="C90" s="312"/>
      <c r="E90" s="312"/>
      <c r="F90" s="311"/>
      <c r="G90" s="319">
        <f>+C90+E90</f>
        <v>0</v>
      </c>
      <c r="I90" s="312">
        <v>0</v>
      </c>
      <c r="K90" s="541" t="s">
        <v>361</v>
      </c>
      <c r="L90" s="542"/>
      <c r="M90" s="541">
        <v>160</v>
      </c>
      <c r="N90" s="371"/>
    </row>
    <row r="91" spans="1:14" ht="12.75">
      <c r="A91" s="296">
        <v>448</v>
      </c>
      <c r="C91" s="312">
        <v>336</v>
      </c>
      <c r="E91" s="312"/>
      <c r="F91" s="311"/>
      <c r="G91" s="319">
        <f>+C91+E91</f>
        <v>336</v>
      </c>
      <c r="I91" s="312">
        <v>336</v>
      </c>
      <c r="K91" s="541" t="s">
        <v>362</v>
      </c>
      <c r="L91" s="542"/>
      <c r="M91" s="541"/>
      <c r="N91" s="371"/>
    </row>
    <row r="92" spans="1:14" ht="12.75">
      <c r="A92" s="366">
        <v>562</v>
      </c>
      <c r="C92" s="312">
        <v>337</v>
      </c>
      <c r="E92" s="312"/>
      <c r="F92" s="311"/>
      <c r="G92" s="319">
        <f>+C92+E92</f>
        <v>337</v>
      </c>
      <c r="I92" s="312">
        <v>337</v>
      </c>
      <c r="K92" s="541" t="s">
        <v>366</v>
      </c>
      <c r="L92" s="542"/>
      <c r="M92" s="541"/>
      <c r="N92" s="371"/>
    </row>
    <row r="93" spans="1:62" s="307" customFormat="1" ht="12">
      <c r="A93" s="399">
        <f>SUM(A90:A92)</f>
        <v>1328</v>
      </c>
      <c r="B93" s="303"/>
      <c r="C93" s="391">
        <f>SUM(C90:C92)</f>
        <v>673</v>
      </c>
      <c r="D93" s="349">
        <f>SUM(D90:D92)</f>
        <v>0</v>
      </c>
      <c r="E93" s="391">
        <f>SUM(E90:E92)</f>
        <v>0</v>
      </c>
      <c r="F93" s="349">
        <f>SUM(F90:F92)</f>
        <v>0</v>
      </c>
      <c r="G93" s="391">
        <f>SUM(G90:G92)</f>
        <v>673</v>
      </c>
      <c r="H93" s="349"/>
      <c r="I93" s="391">
        <f>SUM(I90:I92)</f>
        <v>673</v>
      </c>
      <c r="J93" s="349"/>
      <c r="K93" s="573" t="s">
        <v>371</v>
      </c>
      <c r="L93" s="547">
        <v>0</v>
      </c>
      <c r="M93" s="561">
        <v>1574.8</v>
      </c>
      <c r="N93" s="392">
        <f>SUM(N90:N92)</f>
        <v>0</v>
      </c>
      <c r="O93" s="393"/>
      <c r="P93" s="394"/>
      <c r="Q93" s="394"/>
      <c r="R93" s="394"/>
      <c r="S93" s="394"/>
      <c r="T93" s="394"/>
      <c r="U93" s="394"/>
      <c r="V93" s="394"/>
      <c r="W93" s="394"/>
      <c r="X93" s="394"/>
      <c r="Y93" s="394"/>
      <c r="Z93" s="394"/>
      <c r="AA93" s="394"/>
      <c r="AB93" s="394"/>
      <c r="AC93" s="394"/>
      <c r="AD93" s="394"/>
      <c r="AE93" s="394"/>
      <c r="AF93" s="394"/>
      <c r="AG93" s="394"/>
      <c r="AH93" s="394"/>
      <c r="AI93" s="394"/>
      <c r="AJ93" s="394"/>
      <c r="AK93" s="394"/>
      <c r="AL93" s="394"/>
      <c r="AM93" s="394"/>
      <c r="AN93" s="394"/>
      <c r="AO93" s="394"/>
      <c r="AP93" s="394"/>
      <c r="AQ93" s="394"/>
      <c r="AR93" s="394"/>
      <c r="AS93" s="394"/>
      <c r="AT93" s="394"/>
      <c r="AU93" s="394"/>
      <c r="AV93" s="394"/>
      <c r="AW93" s="394"/>
      <c r="AX93" s="394"/>
      <c r="AY93" s="394"/>
      <c r="AZ93" s="394"/>
      <c r="BA93" s="394"/>
      <c r="BB93" s="394"/>
      <c r="BC93" s="394"/>
      <c r="BD93" s="394"/>
      <c r="BE93" s="394"/>
      <c r="BF93" s="394"/>
      <c r="BG93" s="394"/>
      <c r="BH93" s="394"/>
      <c r="BI93" s="394"/>
      <c r="BJ93" s="394"/>
    </row>
    <row r="94" spans="1:14" ht="12.75">
      <c r="A94" s="366"/>
      <c r="C94" s="312"/>
      <c r="E94" s="312"/>
      <c r="F94" s="311"/>
      <c r="G94" s="312"/>
      <c r="I94" s="312"/>
      <c r="K94" s="571" t="s">
        <v>372</v>
      </c>
      <c r="L94" s="537"/>
      <c r="M94" s="536"/>
      <c r="N94" s="368"/>
    </row>
    <row r="95" spans="1:62" s="323" customFormat="1" ht="12.75">
      <c r="A95" s="402">
        <v>0</v>
      </c>
      <c r="B95" s="404"/>
      <c r="C95" s="335">
        <v>160</v>
      </c>
      <c r="D95" s="349"/>
      <c r="E95" s="335">
        <v>190</v>
      </c>
      <c r="F95" s="349"/>
      <c r="G95" s="319">
        <f aca="true" t="shared" si="3" ref="G95:G102">+C95+E95</f>
        <v>350</v>
      </c>
      <c r="H95" s="390"/>
      <c r="I95" s="312">
        <v>500</v>
      </c>
      <c r="J95" s="349"/>
      <c r="K95" s="559" t="s">
        <v>373</v>
      </c>
      <c r="L95" s="560"/>
      <c r="M95" s="559"/>
      <c r="N95" s="370"/>
      <c r="O95" s="296"/>
      <c r="P95" s="294"/>
      <c r="Q95" s="294"/>
      <c r="R95" s="294"/>
      <c r="S95" s="294"/>
      <c r="T95" s="294"/>
      <c r="U95" s="294"/>
      <c r="V95" s="294"/>
      <c r="W95" s="294"/>
      <c r="X95" s="294"/>
      <c r="Y95" s="294"/>
      <c r="Z95" s="294"/>
      <c r="AA95" s="294"/>
      <c r="AB95" s="294"/>
      <c r="AC95" s="294"/>
      <c r="AD95" s="294"/>
      <c r="AE95" s="294"/>
      <c r="AF95" s="294"/>
      <c r="AG95" s="294"/>
      <c r="AH95" s="294"/>
      <c r="AI95" s="294"/>
      <c r="AJ95" s="294"/>
      <c r="AK95" s="294"/>
      <c r="AL95" s="294"/>
      <c r="AM95" s="294"/>
      <c r="AN95" s="294"/>
      <c r="AO95" s="294"/>
      <c r="AP95" s="294"/>
      <c r="AQ95" s="294"/>
      <c r="AR95" s="294"/>
      <c r="AS95" s="294"/>
      <c r="AT95" s="294"/>
      <c r="AU95" s="294"/>
      <c r="AV95" s="294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294"/>
      <c r="BJ95" s="294"/>
    </row>
    <row r="96" spans="1:62" s="323" customFormat="1" ht="12.75">
      <c r="A96" s="402"/>
      <c r="B96" s="404"/>
      <c r="C96" s="335">
        <v>10</v>
      </c>
      <c r="D96" s="349"/>
      <c r="E96" s="335">
        <v>10</v>
      </c>
      <c r="F96" s="349"/>
      <c r="G96" s="319">
        <f t="shared" si="3"/>
        <v>20</v>
      </c>
      <c r="H96" s="390"/>
      <c r="I96" s="312"/>
      <c r="J96" s="349"/>
      <c r="K96" s="559" t="s">
        <v>374</v>
      </c>
      <c r="L96" s="560"/>
      <c r="M96" s="559">
        <v>346</v>
      </c>
      <c r="N96" s="370"/>
      <c r="O96" s="296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  <c r="AK96" s="294"/>
      <c r="AL96" s="294"/>
      <c r="AM96" s="294"/>
      <c r="AN96" s="294"/>
      <c r="AO96" s="294"/>
      <c r="AP96" s="294"/>
      <c r="AQ96" s="294"/>
      <c r="AR96" s="294"/>
      <c r="AS96" s="294"/>
      <c r="AT96" s="294"/>
      <c r="AU96" s="294"/>
      <c r="AV96" s="294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294"/>
      <c r="BJ96" s="294"/>
    </row>
    <row r="97" spans="1:14" ht="11.25" customHeight="1">
      <c r="A97" s="366">
        <v>609</v>
      </c>
      <c r="C97" s="407"/>
      <c r="D97" s="302"/>
      <c r="E97" s="407"/>
      <c r="F97" s="311"/>
      <c r="G97" s="319">
        <f t="shared" si="3"/>
        <v>0</v>
      </c>
      <c r="H97" s="311"/>
      <c r="I97" s="407">
        <f>+I3</f>
        <v>0</v>
      </c>
      <c r="K97" s="559" t="s">
        <v>375</v>
      </c>
      <c r="L97" s="560"/>
      <c r="M97" s="559">
        <v>252</v>
      </c>
      <c r="N97" s="370"/>
    </row>
    <row r="98" spans="1:14" ht="12">
      <c r="A98" s="366"/>
      <c r="C98" s="312"/>
      <c r="E98" s="312"/>
      <c r="F98" s="311"/>
      <c r="G98" s="319">
        <f>+C98+E98</f>
        <v>0</v>
      </c>
      <c r="I98" s="312">
        <v>1300</v>
      </c>
      <c r="K98" s="573" t="s">
        <v>376</v>
      </c>
      <c r="L98" s="547">
        <v>0</v>
      </c>
      <c r="M98" s="561">
        <v>598</v>
      </c>
      <c r="N98" s="370"/>
    </row>
    <row r="99" spans="1:14" ht="11.25" customHeight="1" outlineLevel="1">
      <c r="A99" s="366">
        <v>802</v>
      </c>
      <c r="C99" s="312">
        <v>394</v>
      </c>
      <c r="E99" s="312">
        <v>456</v>
      </c>
      <c r="F99" s="311"/>
      <c r="G99" s="319">
        <f>+C99+E99</f>
        <v>850</v>
      </c>
      <c r="I99" s="312"/>
      <c r="K99" s="571" t="s">
        <v>377</v>
      </c>
      <c r="L99" s="537"/>
      <c r="M99" s="536"/>
      <c r="N99" s="370"/>
    </row>
    <row r="100" spans="1:14" ht="12.75">
      <c r="A100" s="366">
        <v>420</v>
      </c>
      <c r="C100" s="312"/>
      <c r="E100" s="312"/>
      <c r="F100" s="311"/>
      <c r="G100" s="319">
        <f t="shared" si="3"/>
        <v>0</v>
      </c>
      <c r="I100" s="312"/>
      <c r="K100" s="541" t="s">
        <v>378</v>
      </c>
      <c r="L100" s="542"/>
      <c r="M100" s="541">
        <v>380</v>
      </c>
      <c r="N100" s="370"/>
    </row>
    <row r="101" spans="1:14" ht="12.75">
      <c r="A101" s="366">
        <v>15</v>
      </c>
      <c r="C101" s="312"/>
      <c r="E101" s="312"/>
      <c r="F101" s="311"/>
      <c r="G101" s="319">
        <f t="shared" si="3"/>
        <v>0</v>
      </c>
      <c r="I101" s="312"/>
      <c r="K101" s="550" t="s">
        <v>414</v>
      </c>
      <c r="L101" s="542"/>
      <c r="M101" s="541">
        <v>20</v>
      </c>
      <c r="N101" s="370"/>
    </row>
    <row r="102" spans="1:14" ht="12.75">
      <c r="A102" s="366">
        <v>19</v>
      </c>
      <c r="C102" s="312"/>
      <c r="E102" s="312"/>
      <c r="F102" s="311"/>
      <c r="G102" s="319">
        <f t="shared" si="3"/>
        <v>0</v>
      </c>
      <c r="I102" s="312"/>
      <c r="K102" s="541" t="s">
        <v>349</v>
      </c>
      <c r="L102" s="542"/>
      <c r="M102" s="541">
        <v>900</v>
      </c>
      <c r="N102" s="370"/>
    </row>
    <row r="103" spans="1:62" s="408" customFormat="1" ht="12.75">
      <c r="A103" s="399">
        <f>SUM(A95:A102)</f>
        <v>1865</v>
      </c>
      <c r="B103" s="404"/>
      <c r="C103" s="391">
        <f>SUM(C95:C102)</f>
        <v>564</v>
      </c>
      <c r="D103" s="355"/>
      <c r="E103" s="391">
        <f>SUM(E95:E102)</f>
        <v>656</v>
      </c>
      <c r="F103" s="349"/>
      <c r="G103" s="391">
        <f>SUM(G95:G102)</f>
        <v>1220</v>
      </c>
      <c r="H103" s="405"/>
      <c r="I103" s="391">
        <f>SUM(I95:I102)</f>
        <v>1800</v>
      </c>
      <c r="J103" s="349"/>
      <c r="K103" s="541" t="s">
        <v>383</v>
      </c>
      <c r="L103" s="542"/>
      <c r="M103" s="541"/>
      <c r="N103" s="392">
        <f>SUM(N95:N102)</f>
        <v>0</v>
      </c>
      <c r="O103" s="393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4"/>
      <c r="AA103" s="394"/>
      <c r="AB103" s="394"/>
      <c r="AC103" s="394"/>
      <c r="AD103" s="394"/>
      <c r="AE103" s="394"/>
      <c r="AF103" s="394"/>
      <c r="AG103" s="394"/>
      <c r="AH103" s="394"/>
      <c r="AI103" s="394"/>
      <c r="AJ103" s="394"/>
      <c r="AK103" s="394"/>
      <c r="AL103" s="394"/>
      <c r="AM103" s="394"/>
      <c r="AN103" s="394"/>
      <c r="AO103" s="394"/>
      <c r="AP103" s="394"/>
      <c r="AQ103" s="394"/>
      <c r="AR103" s="394"/>
      <c r="AS103" s="394"/>
      <c r="AT103" s="394"/>
      <c r="AU103" s="394"/>
      <c r="AV103" s="394"/>
      <c r="AW103" s="394"/>
      <c r="AX103" s="394"/>
      <c r="AY103" s="394"/>
      <c r="AZ103" s="394"/>
      <c r="BA103" s="394"/>
      <c r="BB103" s="394"/>
      <c r="BC103" s="394"/>
      <c r="BD103" s="394"/>
      <c r="BE103" s="394"/>
      <c r="BF103" s="394"/>
      <c r="BG103" s="394"/>
      <c r="BH103" s="394"/>
      <c r="BI103" s="394"/>
      <c r="BJ103" s="394"/>
    </row>
    <row r="104" spans="1:14" ht="11.25" customHeight="1" thickBot="1">
      <c r="A104" s="409">
        <f>+A82+A88+A93+A103</f>
        <v>20477</v>
      </c>
      <c r="C104" s="409">
        <f>+C82+C88+C93+C103</f>
        <v>12814</v>
      </c>
      <c r="E104" s="409">
        <f>+E82+E88+E93+E103</f>
        <v>7818</v>
      </c>
      <c r="F104" s="311"/>
      <c r="G104" s="409">
        <f>+G82+G88+G93+G103</f>
        <v>20632</v>
      </c>
      <c r="I104" s="409">
        <f>+I82+I88+I93+I103</f>
        <v>21729</v>
      </c>
      <c r="K104" s="541" t="s">
        <v>379</v>
      </c>
      <c r="L104" s="542"/>
      <c r="M104" s="541"/>
      <c r="N104" s="410">
        <f>N81+N88+N93+N103</f>
        <v>0</v>
      </c>
    </row>
    <row r="105" spans="11:13" ht="13.5" thickTop="1">
      <c r="K105" s="541" t="s">
        <v>380</v>
      </c>
      <c r="L105" s="542"/>
      <c r="M105" s="541"/>
    </row>
    <row r="106" spans="11:13" ht="14.25" customHeight="1">
      <c r="K106" s="541" t="s">
        <v>381</v>
      </c>
      <c r="L106" s="542"/>
      <c r="M106" s="541"/>
    </row>
    <row r="107" spans="11:13" ht="12.75">
      <c r="K107" s="541" t="s">
        <v>382</v>
      </c>
      <c r="L107" s="542"/>
      <c r="M107" s="541"/>
    </row>
    <row r="108" spans="11:13" ht="11.25" customHeight="1">
      <c r="K108" s="573" t="s">
        <v>384</v>
      </c>
      <c r="L108" s="547">
        <v>0</v>
      </c>
      <c r="M108" s="561">
        <v>1300</v>
      </c>
    </row>
    <row r="109" spans="11:13" ht="11.25" customHeight="1" outlineLevel="1" thickBot="1">
      <c r="K109" s="574" t="s">
        <v>385</v>
      </c>
      <c r="L109" s="575">
        <v>0</v>
      </c>
      <c r="M109" s="576">
        <v>21641.12</v>
      </c>
    </row>
    <row r="110" spans="11:13" ht="11.25" customHeight="1" outlineLevel="1" thickBot="1" thickTop="1">
      <c r="K110" s="541"/>
      <c r="L110" s="541"/>
      <c r="M110" s="541"/>
    </row>
    <row r="111" spans="11:13" ht="11.25" customHeight="1" outlineLevel="1" thickBot="1" thickTop="1">
      <c r="K111" s="577" t="s">
        <v>494</v>
      </c>
      <c r="L111" s="553"/>
      <c r="M111" s="578">
        <v>0</v>
      </c>
    </row>
    <row r="112" spans="11:13" ht="11.25" customHeight="1" outlineLevel="1">
      <c r="K112" s="541" t="s">
        <v>495</v>
      </c>
      <c r="L112" s="541"/>
      <c r="M112" s="541"/>
    </row>
    <row r="113" spans="11:13" ht="11.25" customHeight="1" outlineLevel="1">
      <c r="K113" s="579" t="s">
        <v>496</v>
      </c>
      <c r="L113" s="542"/>
      <c r="M113" s="145">
        <v>2900</v>
      </c>
    </row>
    <row r="114" spans="11:13" ht="11.25" customHeight="1" outlineLevel="1">
      <c r="K114" s="541" t="s">
        <v>497</v>
      </c>
      <c r="L114" s="542"/>
      <c r="M114" s="258">
        <v>4274.937931034482</v>
      </c>
    </row>
    <row r="115" spans="11:13" ht="12.75">
      <c r="K115" s="550" t="s">
        <v>498</v>
      </c>
      <c r="L115" s="542"/>
      <c r="M115" s="580">
        <v>-900.2142857142862</v>
      </c>
    </row>
    <row r="116" spans="11:13" ht="12.75">
      <c r="K116" s="581" t="s">
        <v>499</v>
      </c>
      <c r="L116" s="542"/>
      <c r="M116" s="582">
        <v>3374.723645320196</v>
      </c>
    </row>
    <row r="117" ht="12.75">
      <c r="L117" s="54"/>
    </row>
    <row r="118" ht="12.75">
      <c r="L118" s="54"/>
    </row>
    <row r="119" spans="1:62" s="413" customFormat="1" ht="12.75">
      <c r="A119" s="294"/>
      <c r="B119" s="295"/>
      <c r="C119" s="294"/>
      <c r="D119" s="295"/>
      <c r="E119" s="294"/>
      <c r="F119" s="295"/>
      <c r="G119" s="294"/>
      <c r="H119" s="295"/>
      <c r="I119" s="294"/>
      <c r="J119" s="295"/>
      <c r="K119"/>
      <c r="L119" s="54"/>
      <c r="M119"/>
      <c r="N119" s="295"/>
      <c r="O119" s="296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  <c r="AP119" s="294"/>
      <c r="AQ119" s="294"/>
      <c r="AR119" s="294"/>
      <c r="AS119" s="294"/>
      <c r="AT119" s="294"/>
      <c r="AU119" s="294"/>
      <c r="AV119" s="294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4"/>
      <c r="BJ119" s="294"/>
    </row>
    <row r="120" spans="1:62" s="413" customFormat="1" ht="12.75">
      <c r="A120" s="294"/>
      <c r="B120" s="295"/>
      <c r="C120" s="294"/>
      <c r="D120" s="295"/>
      <c r="E120" s="294"/>
      <c r="F120" s="295"/>
      <c r="G120" s="294"/>
      <c r="H120" s="295"/>
      <c r="I120" s="294"/>
      <c r="J120" s="295"/>
      <c r="K120"/>
      <c r="L120" s="54"/>
      <c r="M120"/>
      <c r="N120" s="295"/>
      <c r="O120" s="296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294"/>
      <c r="AN120" s="294"/>
      <c r="AO120" s="294"/>
      <c r="AP120" s="294"/>
      <c r="AQ120" s="294"/>
      <c r="AR120" s="294"/>
      <c r="AS120" s="294"/>
      <c r="AT120" s="294"/>
      <c r="AU120" s="294"/>
      <c r="AV120" s="294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4"/>
      <c r="BJ120" s="294"/>
    </row>
    <row r="121" spans="1:62" s="341" customFormat="1" ht="12.75">
      <c r="A121" s="294"/>
      <c r="B121" s="295"/>
      <c r="C121" s="294"/>
      <c r="D121" s="295"/>
      <c r="E121" s="294"/>
      <c r="F121" s="295"/>
      <c r="G121" s="294"/>
      <c r="H121" s="295"/>
      <c r="I121" s="294"/>
      <c r="J121" s="295"/>
      <c r="K121"/>
      <c r="L121" s="54"/>
      <c r="M121"/>
      <c r="N121" s="295"/>
      <c r="O121" s="296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  <c r="AP121" s="294"/>
      <c r="AQ121" s="294"/>
      <c r="AR121" s="294"/>
      <c r="AS121" s="294"/>
      <c r="AT121" s="294"/>
      <c r="AU121" s="294"/>
      <c r="AV121" s="294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4"/>
      <c r="BJ121" s="294"/>
    </row>
    <row r="122" spans="1:62" s="413" customFormat="1" ht="9.75" customHeight="1" outlineLevel="1">
      <c r="A122" s="294"/>
      <c r="B122" s="295"/>
      <c r="C122" s="294"/>
      <c r="D122" s="295"/>
      <c r="E122" s="294"/>
      <c r="F122" s="295"/>
      <c r="G122" s="294"/>
      <c r="H122" s="295"/>
      <c r="I122" s="294"/>
      <c r="J122" s="295"/>
      <c r="K122"/>
      <c r="L122" s="54"/>
      <c r="M122"/>
      <c r="N122" s="295"/>
      <c r="O122" s="296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4"/>
      <c r="AO122" s="294"/>
      <c r="AP122" s="294"/>
      <c r="AQ122" s="294"/>
      <c r="AR122" s="294"/>
      <c r="AS122" s="294"/>
      <c r="AT122" s="294"/>
      <c r="AU122" s="294"/>
      <c r="AV122" s="294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4"/>
      <c r="BJ122" s="294"/>
    </row>
    <row r="123" spans="1:62" s="413" customFormat="1" ht="9.75" customHeight="1" outlineLevel="1">
      <c r="A123" s="294"/>
      <c r="B123" s="295"/>
      <c r="C123" s="294"/>
      <c r="D123" s="295"/>
      <c r="E123" s="294"/>
      <c r="F123" s="295"/>
      <c r="G123" s="294"/>
      <c r="H123" s="295"/>
      <c r="I123" s="294"/>
      <c r="J123" s="295"/>
      <c r="K123"/>
      <c r="L123" s="54"/>
      <c r="M123"/>
      <c r="N123" s="295"/>
      <c r="O123" s="296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  <c r="AK123" s="294"/>
      <c r="AL123" s="294"/>
      <c r="AM123" s="294"/>
      <c r="AN123" s="294"/>
      <c r="AO123" s="294"/>
      <c r="AP123" s="294"/>
      <c r="AQ123" s="294"/>
      <c r="AR123" s="294"/>
      <c r="AS123" s="294"/>
      <c r="AT123" s="294"/>
      <c r="AU123" s="294"/>
      <c r="AV123" s="294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4"/>
      <c r="BJ123" s="294"/>
    </row>
    <row r="124" spans="1:62" s="341" customFormat="1" ht="12.75">
      <c r="A124" s="294"/>
      <c r="B124" s="295"/>
      <c r="C124" s="294"/>
      <c r="D124" s="295"/>
      <c r="E124" s="294"/>
      <c r="F124" s="295"/>
      <c r="G124" s="294"/>
      <c r="H124" s="295"/>
      <c r="I124" s="294"/>
      <c r="J124" s="295"/>
      <c r="K124"/>
      <c r="L124" s="54"/>
      <c r="M124"/>
      <c r="N124" s="295"/>
      <c r="O124" s="296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  <c r="AK124" s="294"/>
      <c r="AL124" s="294"/>
      <c r="AM124" s="294"/>
      <c r="AN124" s="294"/>
      <c r="AO124" s="294"/>
      <c r="AP124" s="294"/>
      <c r="AQ124" s="294"/>
      <c r="AR124" s="294"/>
      <c r="AS124" s="294"/>
      <c r="AT124" s="294"/>
      <c r="AU124" s="294"/>
      <c r="AV124" s="294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4"/>
      <c r="BJ124" s="294"/>
    </row>
    <row r="125" spans="1:62" s="413" customFormat="1" ht="12.75" outlineLevel="1">
      <c r="A125" s="294"/>
      <c r="B125" s="295"/>
      <c r="C125" s="294"/>
      <c r="D125" s="295"/>
      <c r="E125" s="294"/>
      <c r="F125" s="295"/>
      <c r="G125" s="294"/>
      <c r="H125" s="295"/>
      <c r="I125" s="294"/>
      <c r="J125" s="295"/>
      <c r="K125"/>
      <c r="L125" s="54"/>
      <c r="M125"/>
      <c r="N125" s="295"/>
      <c r="O125" s="296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  <c r="AI125" s="294"/>
      <c r="AJ125" s="294"/>
      <c r="AK125" s="294"/>
      <c r="AL125" s="294"/>
      <c r="AM125" s="294"/>
      <c r="AN125" s="294"/>
      <c r="AO125" s="294"/>
      <c r="AP125" s="294"/>
      <c r="AQ125" s="294"/>
      <c r="AR125" s="294"/>
      <c r="AS125" s="294"/>
      <c r="AT125" s="294"/>
      <c r="AU125" s="294"/>
      <c r="AV125" s="294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4"/>
      <c r="BJ125" s="294"/>
    </row>
    <row r="126" spans="1:62" s="413" customFormat="1" ht="12.75" outlineLevel="1">
      <c r="A126" s="294"/>
      <c r="B126" s="295"/>
      <c r="C126" s="294"/>
      <c r="D126" s="295"/>
      <c r="E126" s="294"/>
      <c r="F126" s="295"/>
      <c r="G126" s="294"/>
      <c r="H126" s="295"/>
      <c r="I126" s="294"/>
      <c r="J126" s="295"/>
      <c r="K126"/>
      <c r="L126" s="54"/>
      <c r="M126"/>
      <c r="N126" s="295"/>
      <c r="O126" s="296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294"/>
      <c r="AG126" s="294"/>
      <c r="AH126" s="294"/>
      <c r="AI126" s="294"/>
      <c r="AJ126" s="294"/>
      <c r="AK126" s="294"/>
      <c r="AL126" s="294"/>
      <c r="AM126" s="294"/>
      <c r="AN126" s="294"/>
      <c r="AO126" s="294"/>
      <c r="AP126" s="294"/>
      <c r="AQ126" s="294"/>
      <c r="AR126" s="294"/>
      <c r="AS126" s="294"/>
      <c r="AT126" s="294"/>
      <c r="AU126" s="294"/>
      <c r="AV126" s="294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4"/>
      <c r="BJ126" s="294"/>
    </row>
    <row r="127" spans="1:62" s="413" customFormat="1" ht="12.75" outlineLevel="1">
      <c r="A127" s="294"/>
      <c r="B127" s="295"/>
      <c r="C127" s="294"/>
      <c r="D127" s="295"/>
      <c r="E127" s="294"/>
      <c r="F127" s="295"/>
      <c r="G127" s="294"/>
      <c r="H127" s="295"/>
      <c r="I127" s="294"/>
      <c r="J127" s="295"/>
      <c r="K127"/>
      <c r="L127" s="54"/>
      <c r="M127"/>
      <c r="N127" s="295"/>
      <c r="O127" s="296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294"/>
      <c r="AG127" s="294"/>
      <c r="AH127" s="294"/>
      <c r="AI127" s="294"/>
      <c r="AJ127" s="294"/>
      <c r="AK127" s="294"/>
      <c r="AL127" s="294"/>
      <c r="AM127" s="294"/>
      <c r="AN127" s="294"/>
      <c r="AO127" s="294"/>
      <c r="AP127" s="294"/>
      <c r="AQ127" s="294"/>
      <c r="AR127" s="294"/>
      <c r="AS127" s="294"/>
      <c r="AT127" s="294"/>
      <c r="AU127" s="294"/>
      <c r="AV127" s="294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4"/>
      <c r="BJ127" s="294"/>
    </row>
    <row r="128" spans="1:62" s="413" customFormat="1" ht="12.75" outlineLevel="1">
      <c r="A128" s="294"/>
      <c r="B128" s="295"/>
      <c r="C128" s="294"/>
      <c r="D128" s="295"/>
      <c r="E128" s="294"/>
      <c r="F128" s="295"/>
      <c r="G128" s="294"/>
      <c r="H128" s="295"/>
      <c r="I128" s="294"/>
      <c r="J128" s="295"/>
      <c r="K128"/>
      <c r="L128" s="54"/>
      <c r="M128"/>
      <c r="N128" s="295"/>
      <c r="O128" s="296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4"/>
      <c r="AK128" s="294"/>
      <c r="AL128" s="294"/>
      <c r="AM128" s="294"/>
      <c r="AN128" s="294"/>
      <c r="AO128" s="294"/>
      <c r="AP128" s="294"/>
      <c r="AQ128" s="294"/>
      <c r="AR128" s="294"/>
      <c r="AS128" s="294"/>
      <c r="AT128" s="294"/>
      <c r="AU128" s="294"/>
      <c r="AV128" s="294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4"/>
      <c r="BJ128" s="294"/>
    </row>
    <row r="129" spans="1:62" s="413" customFormat="1" ht="12.75" outlineLevel="1">
      <c r="A129" s="294"/>
      <c r="B129" s="295"/>
      <c r="C129" s="294"/>
      <c r="D129" s="295"/>
      <c r="E129" s="294"/>
      <c r="F129" s="295"/>
      <c r="G129" s="294"/>
      <c r="H129" s="295"/>
      <c r="I129" s="294"/>
      <c r="J129" s="295"/>
      <c r="K129"/>
      <c r="L129" s="54"/>
      <c r="M129"/>
      <c r="N129" s="295"/>
      <c r="O129" s="296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4"/>
      <c r="BJ129" s="294"/>
    </row>
    <row r="130" spans="1:62" s="341" customFormat="1" ht="12.75">
      <c r="A130" s="294"/>
      <c r="B130" s="295"/>
      <c r="C130" s="294"/>
      <c r="D130" s="295"/>
      <c r="E130" s="294"/>
      <c r="F130" s="295"/>
      <c r="G130" s="294"/>
      <c r="H130" s="295"/>
      <c r="I130" s="294"/>
      <c r="J130" s="295"/>
      <c r="K130"/>
      <c r="L130" s="54"/>
      <c r="M130"/>
      <c r="N130" s="295"/>
      <c r="O130" s="296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  <c r="AL130" s="294"/>
      <c r="AM130" s="294"/>
      <c r="AN130" s="294"/>
      <c r="AO130" s="294"/>
      <c r="AP130" s="294"/>
      <c r="AQ130" s="294"/>
      <c r="AR130" s="294"/>
      <c r="AS130" s="294"/>
      <c r="AT130" s="294"/>
      <c r="AU130" s="294"/>
      <c r="AV130" s="294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BG130" s="294"/>
      <c r="BH130" s="294"/>
      <c r="BI130" s="294"/>
      <c r="BJ130" s="294"/>
    </row>
    <row r="131" spans="1:62" s="413" customFormat="1" ht="12.75" outlineLevel="1">
      <c r="A131" s="294"/>
      <c r="B131" s="295"/>
      <c r="C131" s="294"/>
      <c r="D131" s="295"/>
      <c r="E131" s="294"/>
      <c r="F131" s="295"/>
      <c r="G131" s="294"/>
      <c r="H131" s="295"/>
      <c r="I131" s="294"/>
      <c r="J131" s="295"/>
      <c r="K131"/>
      <c r="L131" s="54"/>
      <c r="M131"/>
      <c r="N131" s="295"/>
      <c r="O131" s="296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  <c r="AL131" s="294"/>
      <c r="AM131" s="294"/>
      <c r="AN131" s="294"/>
      <c r="AO131" s="294"/>
      <c r="AP131" s="294"/>
      <c r="AQ131" s="294"/>
      <c r="AR131" s="294"/>
      <c r="AS131" s="294"/>
      <c r="AT131" s="294"/>
      <c r="AU131" s="294"/>
      <c r="AV131" s="294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BG131" s="294"/>
      <c r="BH131" s="294"/>
      <c r="BI131" s="294"/>
      <c r="BJ131" s="294"/>
    </row>
    <row r="132" spans="1:62" s="413" customFormat="1" ht="12.75" outlineLevel="1">
      <c r="A132" s="294"/>
      <c r="B132" s="295"/>
      <c r="C132" s="294"/>
      <c r="D132" s="295"/>
      <c r="E132" s="294"/>
      <c r="F132" s="295"/>
      <c r="G132" s="294"/>
      <c r="H132" s="295"/>
      <c r="I132" s="294"/>
      <c r="J132" s="295"/>
      <c r="K132"/>
      <c r="L132" s="54"/>
      <c r="M132"/>
      <c r="N132" s="295"/>
      <c r="O132" s="296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  <c r="AK132" s="294"/>
      <c r="AL132" s="294"/>
      <c r="AM132" s="294"/>
      <c r="AN132" s="294"/>
      <c r="AO132" s="294"/>
      <c r="AP132" s="294"/>
      <c r="AQ132" s="294"/>
      <c r="AR132" s="294"/>
      <c r="AS132" s="294"/>
      <c r="AT132" s="294"/>
      <c r="AU132" s="294"/>
      <c r="AV132" s="294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294"/>
      <c r="BJ132" s="294"/>
    </row>
    <row r="133" spans="1:62" s="341" customFormat="1" ht="12.75">
      <c r="A133" s="294"/>
      <c r="B133" s="295"/>
      <c r="C133" s="294"/>
      <c r="D133" s="295"/>
      <c r="E133" s="294"/>
      <c r="F133" s="295"/>
      <c r="G133" s="294"/>
      <c r="H133" s="295"/>
      <c r="I133" s="294"/>
      <c r="J133" s="295"/>
      <c r="K133"/>
      <c r="L133" s="54"/>
      <c r="M133"/>
      <c r="N133" s="295"/>
      <c r="O133" s="296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  <c r="AL133" s="294"/>
      <c r="AM133" s="294"/>
      <c r="AN133" s="294"/>
      <c r="AO133" s="294"/>
      <c r="AP133" s="294"/>
      <c r="AQ133" s="294"/>
      <c r="AR133" s="294"/>
      <c r="AS133" s="294"/>
      <c r="AT133" s="294"/>
      <c r="AU133" s="294"/>
      <c r="AV133" s="294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4"/>
      <c r="BJ133" s="294"/>
    </row>
    <row r="134" spans="3:13" ht="12.75">
      <c r="C134" s="294"/>
      <c r="D134" s="295"/>
      <c r="E134" s="294"/>
      <c r="F134" s="295"/>
      <c r="G134" s="294"/>
      <c r="H134" s="295"/>
      <c r="I134" s="294"/>
      <c r="J134" s="295"/>
      <c r="K134"/>
      <c r="M134"/>
    </row>
    <row r="135" spans="3:13" ht="12.75">
      <c r="C135" s="294"/>
      <c r="D135" s="295"/>
      <c r="E135" s="294"/>
      <c r="F135" s="295"/>
      <c r="G135" s="294"/>
      <c r="H135" s="295"/>
      <c r="I135" s="294"/>
      <c r="J135" s="295"/>
      <c r="K135"/>
      <c r="M135"/>
    </row>
    <row r="136" spans="3:13" ht="12.75">
      <c r="C136" s="294"/>
      <c r="D136" s="295"/>
      <c r="E136" s="294"/>
      <c r="F136" s="295"/>
      <c r="G136" s="294"/>
      <c r="H136" s="295"/>
      <c r="I136" s="294"/>
      <c r="J136" s="295"/>
      <c r="K136"/>
      <c r="M136"/>
    </row>
    <row r="137" spans="3:13" ht="12.75">
      <c r="C137" s="294"/>
      <c r="D137" s="295"/>
      <c r="E137" s="294"/>
      <c r="F137" s="295"/>
      <c r="G137" s="294"/>
      <c r="H137" s="295"/>
      <c r="I137" s="294"/>
      <c r="J137" s="295"/>
      <c r="K137"/>
      <c r="M137"/>
    </row>
    <row r="138" spans="3:13" ht="12.75">
      <c r="C138" s="294"/>
      <c r="D138" s="295"/>
      <c r="E138" s="294"/>
      <c r="F138" s="295"/>
      <c r="G138" s="294"/>
      <c r="H138" s="295"/>
      <c r="I138" s="294"/>
      <c r="J138" s="295"/>
      <c r="K138"/>
      <c r="M138"/>
    </row>
    <row r="139" spans="3:13" ht="12.75">
      <c r="C139" s="294"/>
      <c r="D139" s="295"/>
      <c r="E139" s="294"/>
      <c r="F139" s="295"/>
      <c r="G139" s="294"/>
      <c r="H139" s="295"/>
      <c r="I139" s="294"/>
      <c r="J139" s="295"/>
      <c r="K139"/>
      <c r="M139"/>
    </row>
    <row r="140" spans="3:13" ht="12.75">
      <c r="C140" s="294"/>
      <c r="D140" s="295"/>
      <c r="E140" s="294"/>
      <c r="F140" s="295"/>
      <c r="G140" s="294"/>
      <c r="H140" s="295"/>
      <c r="I140" s="294"/>
      <c r="J140" s="295"/>
      <c r="K140"/>
      <c r="M140"/>
    </row>
    <row r="141" spans="3:13" ht="12.75" outlineLevel="1">
      <c r="C141" s="294"/>
      <c r="D141" s="295"/>
      <c r="E141" s="294"/>
      <c r="F141" s="295"/>
      <c r="G141" s="294"/>
      <c r="H141" s="295"/>
      <c r="I141" s="294"/>
      <c r="J141" s="295"/>
      <c r="K141"/>
      <c r="M141"/>
    </row>
    <row r="142" spans="3:13" ht="12.75" outlineLevel="1">
      <c r="C142" s="294"/>
      <c r="D142" s="295"/>
      <c r="E142" s="294"/>
      <c r="F142" s="295"/>
      <c r="G142" s="294"/>
      <c r="H142" s="295"/>
      <c r="I142" s="294"/>
      <c r="J142" s="295"/>
      <c r="K142"/>
      <c r="M142"/>
    </row>
    <row r="143" spans="3:13" ht="12.75" outlineLevel="1">
      <c r="C143" s="294"/>
      <c r="D143" s="295"/>
      <c r="E143" s="294"/>
      <c r="F143" s="295"/>
      <c r="G143" s="294"/>
      <c r="H143" s="295"/>
      <c r="I143" s="294"/>
      <c r="J143" s="295"/>
      <c r="K143"/>
      <c r="M143"/>
    </row>
    <row r="144" spans="3:13" ht="12.75" outlineLevel="1">
      <c r="C144" s="294"/>
      <c r="D144" s="295"/>
      <c r="E144" s="294"/>
      <c r="F144" s="295"/>
      <c r="G144" s="294"/>
      <c r="H144" s="295"/>
      <c r="I144" s="294"/>
      <c r="J144" s="295"/>
      <c r="K144"/>
      <c r="M144"/>
    </row>
    <row r="145" spans="3:13" ht="12.75" outlineLevel="1">
      <c r="C145" s="294"/>
      <c r="D145" s="295"/>
      <c r="E145" s="294"/>
      <c r="F145" s="295"/>
      <c r="G145" s="294"/>
      <c r="H145" s="295"/>
      <c r="I145" s="294"/>
      <c r="J145" s="295"/>
      <c r="K145"/>
      <c r="M145"/>
    </row>
    <row r="146" spans="3:13" ht="12.75" outlineLevel="1">
      <c r="C146" s="294"/>
      <c r="D146" s="295"/>
      <c r="E146" s="294"/>
      <c r="F146" s="295"/>
      <c r="G146" s="294"/>
      <c r="H146" s="295"/>
      <c r="I146" s="294"/>
      <c r="J146" s="295"/>
      <c r="K146"/>
      <c r="M146"/>
    </row>
    <row r="147" spans="3:13" ht="12.75" outlineLevel="1">
      <c r="C147" s="294"/>
      <c r="D147" s="295"/>
      <c r="E147" s="294"/>
      <c r="F147" s="295"/>
      <c r="G147" s="294"/>
      <c r="H147" s="295"/>
      <c r="I147" s="294"/>
      <c r="J147" s="295"/>
      <c r="K147"/>
      <c r="M147"/>
    </row>
    <row r="148" spans="1:62" s="341" customFormat="1" ht="12.75">
      <c r="A148" s="294"/>
      <c r="B148" s="295"/>
      <c r="C148" s="294"/>
      <c r="D148" s="295"/>
      <c r="E148" s="294"/>
      <c r="F148" s="295"/>
      <c r="G148" s="294"/>
      <c r="H148" s="295"/>
      <c r="I148" s="294"/>
      <c r="J148" s="295"/>
      <c r="K148"/>
      <c r="L148" s="54"/>
      <c r="M148"/>
      <c r="N148" s="295"/>
      <c r="O148" s="296"/>
      <c r="P148" s="294"/>
      <c r="Q148" s="294"/>
      <c r="R148" s="294"/>
      <c r="S148" s="294"/>
      <c r="T148" s="294"/>
      <c r="U148" s="294"/>
      <c r="V148" s="294"/>
      <c r="W148" s="294"/>
      <c r="X148" s="294"/>
      <c r="Y148" s="294"/>
      <c r="Z148" s="294"/>
      <c r="AA148" s="294"/>
      <c r="AB148" s="294"/>
      <c r="AC148" s="294"/>
      <c r="AD148" s="294"/>
      <c r="AE148" s="294"/>
      <c r="AF148" s="294"/>
      <c r="AG148" s="294"/>
      <c r="AH148" s="294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4"/>
      <c r="BJ148" s="294"/>
    </row>
    <row r="149" spans="1:62" s="323" customFormat="1" ht="12.75">
      <c r="A149" s="294"/>
      <c r="B149" s="295"/>
      <c r="C149" s="294"/>
      <c r="D149" s="295"/>
      <c r="E149" s="294"/>
      <c r="F149" s="295"/>
      <c r="G149" s="294"/>
      <c r="H149" s="295"/>
      <c r="I149" s="294"/>
      <c r="J149" s="295"/>
      <c r="K149"/>
      <c r="L149" s="54"/>
      <c r="M149"/>
      <c r="N149" s="295"/>
      <c r="O149" s="296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  <c r="AC149" s="294"/>
      <c r="AD149" s="294"/>
      <c r="AE149" s="294"/>
      <c r="AF149" s="294"/>
      <c r="AG149" s="294"/>
      <c r="AH149" s="294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4"/>
      <c r="BJ149" s="294"/>
    </row>
    <row r="150" spans="3:13" ht="12.75">
      <c r="C150" s="294"/>
      <c r="D150" s="295"/>
      <c r="E150" s="294"/>
      <c r="F150" s="295"/>
      <c r="G150" s="294"/>
      <c r="H150" s="295"/>
      <c r="I150" s="294"/>
      <c r="J150" s="295"/>
      <c r="K150"/>
      <c r="M150"/>
    </row>
    <row r="151" spans="1:62" s="323" customFormat="1" ht="12.75">
      <c r="A151" s="294"/>
      <c r="B151" s="295"/>
      <c r="C151" s="294"/>
      <c r="D151" s="295"/>
      <c r="E151" s="294"/>
      <c r="F151" s="295"/>
      <c r="G151" s="294"/>
      <c r="H151" s="295"/>
      <c r="I151" s="294"/>
      <c r="J151" s="295"/>
      <c r="K151"/>
      <c r="L151" s="54"/>
      <c r="M151"/>
      <c r="N151" s="295"/>
      <c r="O151" s="296"/>
      <c r="P151" s="294"/>
      <c r="Q151" s="294"/>
      <c r="R151" s="294"/>
      <c r="S151" s="294"/>
      <c r="T151" s="294"/>
      <c r="U151" s="294"/>
      <c r="V151" s="294"/>
      <c r="W151" s="294"/>
      <c r="X151" s="294"/>
      <c r="Y151" s="294"/>
      <c r="Z151" s="294"/>
      <c r="AA151" s="294"/>
      <c r="AB151" s="294"/>
      <c r="AC151" s="294"/>
      <c r="AD151" s="294"/>
      <c r="AE151" s="294"/>
      <c r="AF151" s="294"/>
      <c r="AG151" s="294"/>
      <c r="AH151" s="294"/>
      <c r="AI151" s="294"/>
      <c r="AJ151" s="294"/>
      <c r="AK151" s="294"/>
      <c r="AL151" s="294"/>
      <c r="AM151" s="294"/>
      <c r="AN151" s="294"/>
      <c r="AO151" s="294"/>
      <c r="AP151" s="294"/>
      <c r="AQ151" s="294"/>
      <c r="AR151" s="294"/>
      <c r="AS151" s="294"/>
      <c r="AT151" s="294"/>
      <c r="AU151" s="294"/>
      <c r="AV151" s="294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4"/>
      <c r="BJ151" s="294"/>
    </row>
    <row r="152" spans="3:13" ht="12.75">
      <c r="C152" s="294"/>
      <c r="D152" s="295"/>
      <c r="E152" s="294"/>
      <c r="F152" s="295"/>
      <c r="G152" s="294"/>
      <c r="H152" s="295"/>
      <c r="I152" s="294"/>
      <c r="J152" s="295"/>
      <c r="K152"/>
      <c r="M152"/>
    </row>
    <row r="153" spans="3:13" ht="12.75">
      <c r="C153" s="294"/>
      <c r="D153" s="295"/>
      <c r="E153" s="294"/>
      <c r="F153" s="295"/>
      <c r="G153" s="294"/>
      <c r="H153" s="295"/>
      <c r="I153" s="294"/>
      <c r="J153" s="295"/>
      <c r="K153"/>
      <c r="M153"/>
    </row>
    <row r="154" spans="3:13" ht="12.75">
      <c r="C154" s="294"/>
      <c r="D154" s="295"/>
      <c r="E154" s="294"/>
      <c r="F154" s="295"/>
      <c r="G154" s="294"/>
      <c r="H154" s="295"/>
      <c r="I154" s="294"/>
      <c r="J154" s="295"/>
      <c r="K154"/>
      <c r="M154"/>
    </row>
    <row r="155" spans="3:13" ht="12.75">
      <c r="C155" s="294"/>
      <c r="D155" s="295"/>
      <c r="E155" s="294"/>
      <c r="F155" s="295"/>
      <c r="G155" s="294"/>
      <c r="H155" s="295"/>
      <c r="I155" s="294"/>
      <c r="J155" s="295"/>
      <c r="K155"/>
      <c r="M155"/>
    </row>
    <row r="156" spans="3:13" ht="5.25" customHeight="1">
      <c r="C156" s="294"/>
      <c r="D156" s="295"/>
      <c r="E156" s="294"/>
      <c r="F156" s="295"/>
      <c r="G156" s="294"/>
      <c r="H156" s="295"/>
      <c r="I156" s="294"/>
      <c r="J156" s="295"/>
      <c r="K156"/>
      <c r="M156"/>
    </row>
    <row r="157" spans="1:62" s="411" customFormat="1" ht="12.75">
      <c r="A157" s="294"/>
      <c r="B157" s="295"/>
      <c r="C157" s="294"/>
      <c r="D157" s="295"/>
      <c r="E157" s="294"/>
      <c r="F157" s="295"/>
      <c r="G157" s="294"/>
      <c r="H157" s="295"/>
      <c r="I157" s="294"/>
      <c r="J157" s="295"/>
      <c r="K157"/>
      <c r="L157" s="54"/>
      <c r="M157"/>
      <c r="N157" s="295"/>
      <c r="O157" s="296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  <c r="AC157" s="294"/>
      <c r="AD157" s="294"/>
      <c r="AE157" s="294"/>
      <c r="AF157" s="294"/>
      <c r="AG157" s="294"/>
      <c r="AH157" s="294"/>
      <c r="AI157" s="294"/>
      <c r="AJ157" s="294"/>
      <c r="AK157" s="294"/>
      <c r="AL157" s="294"/>
      <c r="AM157" s="294"/>
      <c r="AN157" s="294"/>
      <c r="AO157" s="294"/>
      <c r="AP157" s="294"/>
      <c r="AQ157" s="294"/>
      <c r="AR157" s="294"/>
      <c r="AS157" s="294"/>
      <c r="AT157" s="294"/>
      <c r="AU157" s="294"/>
      <c r="AV157" s="294"/>
      <c r="AW157" s="294"/>
      <c r="AX157" s="294"/>
      <c r="AY157" s="294"/>
      <c r="AZ157" s="294"/>
      <c r="BA157" s="294"/>
      <c r="BB157" s="294"/>
      <c r="BC157" s="294"/>
      <c r="BD157" s="294"/>
      <c r="BE157" s="294"/>
      <c r="BF157" s="294"/>
      <c r="BG157" s="294"/>
      <c r="BH157" s="294"/>
      <c r="BI157" s="294"/>
      <c r="BJ157" s="294"/>
    </row>
    <row r="158" spans="1:62" s="297" customFormat="1" ht="12.75">
      <c r="A158" s="294"/>
      <c r="B158" s="295"/>
      <c r="C158" s="294"/>
      <c r="D158" s="295"/>
      <c r="E158" s="294"/>
      <c r="F158" s="295"/>
      <c r="G158" s="294"/>
      <c r="H158" s="295"/>
      <c r="I158" s="294"/>
      <c r="J158" s="295"/>
      <c r="K158"/>
      <c r="L158" s="54"/>
      <c r="M158"/>
      <c r="N158" s="295"/>
      <c r="O158" s="296"/>
      <c r="P158" s="294"/>
      <c r="Q158" s="294"/>
      <c r="R158" s="294"/>
      <c r="S158" s="294"/>
      <c r="T158" s="294"/>
      <c r="U158" s="294"/>
      <c r="V158" s="294"/>
      <c r="W158" s="294"/>
      <c r="X158" s="294"/>
      <c r="Y158" s="294"/>
      <c r="Z158" s="294"/>
      <c r="AA158" s="294"/>
      <c r="AB158" s="294"/>
      <c r="AC158" s="294"/>
      <c r="AD158" s="294"/>
      <c r="AE158" s="294"/>
      <c r="AF158" s="294"/>
      <c r="AG158" s="294"/>
      <c r="AH158" s="294"/>
      <c r="AI158" s="294"/>
      <c r="AJ158" s="294"/>
      <c r="AK158" s="294"/>
      <c r="AL158" s="294"/>
      <c r="AM158" s="294"/>
      <c r="AN158" s="294"/>
      <c r="AO158" s="294"/>
      <c r="AP158" s="294"/>
      <c r="AQ158" s="294"/>
      <c r="AR158" s="294"/>
      <c r="AS158" s="294"/>
      <c r="AT158" s="294"/>
      <c r="AU158" s="294"/>
      <c r="AV158" s="294"/>
      <c r="AW158" s="294"/>
      <c r="AX158" s="294"/>
      <c r="AY158" s="294"/>
      <c r="AZ158" s="294"/>
      <c r="BA158" s="294"/>
      <c r="BB158" s="294"/>
      <c r="BC158" s="294"/>
      <c r="BD158" s="294"/>
      <c r="BE158" s="294"/>
      <c r="BF158" s="294"/>
      <c r="BG158" s="294"/>
      <c r="BH158" s="294"/>
      <c r="BI158" s="294"/>
      <c r="BJ158" s="294"/>
    </row>
    <row r="159" spans="1:62" s="297" customFormat="1" ht="12.75">
      <c r="A159" s="294"/>
      <c r="B159" s="295"/>
      <c r="C159" s="294"/>
      <c r="D159" s="295"/>
      <c r="E159" s="294"/>
      <c r="F159" s="295"/>
      <c r="G159" s="294"/>
      <c r="H159" s="295"/>
      <c r="I159" s="294"/>
      <c r="J159" s="295"/>
      <c r="K159"/>
      <c r="L159" s="54"/>
      <c r="M159"/>
      <c r="N159" s="295"/>
      <c r="O159" s="296"/>
      <c r="P159" s="294"/>
      <c r="Q159" s="294"/>
      <c r="R159" s="294"/>
      <c r="S159" s="294"/>
      <c r="T159" s="294"/>
      <c r="U159" s="294"/>
      <c r="V159" s="294"/>
      <c r="W159" s="294"/>
      <c r="X159" s="294"/>
      <c r="Y159" s="294"/>
      <c r="Z159" s="294"/>
      <c r="AA159" s="294"/>
      <c r="AB159" s="294"/>
      <c r="AC159" s="294"/>
      <c r="AD159" s="294"/>
      <c r="AE159" s="294"/>
      <c r="AF159" s="294"/>
      <c r="AG159" s="294"/>
      <c r="AH159" s="294"/>
      <c r="AI159" s="294"/>
      <c r="AJ159" s="294"/>
      <c r="AK159" s="294"/>
      <c r="AL159" s="294"/>
      <c r="AM159" s="294"/>
      <c r="AN159" s="294"/>
      <c r="AO159" s="294"/>
      <c r="AP159" s="294"/>
      <c r="AQ159" s="294"/>
      <c r="AR159" s="294"/>
      <c r="AS159" s="294"/>
      <c r="AT159" s="294"/>
      <c r="AU159" s="294"/>
      <c r="AV159" s="294"/>
      <c r="AW159" s="294"/>
      <c r="AX159" s="294"/>
      <c r="AY159" s="294"/>
      <c r="AZ159" s="294"/>
      <c r="BA159" s="294"/>
      <c r="BB159" s="294"/>
      <c r="BC159" s="294"/>
      <c r="BD159" s="294"/>
      <c r="BE159" s="294"/>
      <c r="BF159" s="294"/>
      <c r="BG159" s="294"/>
      <c r="BH159" s="294"/>
      <c r="BI159" s="294"/>
      <c r="BJ159" s="294"/>
    </row>
    <row r="160" spans="1:62" s="323" customFormat="1" ht="12.75">
      <c r="A160" s="294"/>
      <c r="B160" s="295"/>
      <c r="C160" s="294"/>
      <c r="D160" s="295"/>
      <c r="E160" s="294"/>
      <c r="F160" s="295"/>
      <c r="G160" s="294"/>
      <c r="H160" s="295"/>
      <c r="I160" s="294"/>
      <c r="J160" s="295"/>
      <c r="K160"/>
      <c r="L160" s="54"/>
      <c r="M160"/>
      <c r="N160" s="295"/>
      <c r="O160" s="296"/>
      <c r="P160" s="294"/>
      <c r="Q160" s="294"/>
      <c r="R160" s="294"/>
      <c r="S160" s="294"/>
      <c r="T160" s="294"/>
      <c r="U160" s="294"/>
      <c r="V160" s="294"/>
      <c r="W160" s="294"/>
      <c r="X160" s="294"/>
      <c r="Y160" s="294"/>
      <c r="Z160" s="294"/>
      <c r="AA160" s="294"/>
      <c r="AB160" s="294"/>
      <c r="AC160" s="294"/>
      <c r="AD160" s="294"/>
      <c r="AE160" s="294"/>
      <c r="AF160" s="294"/>
      <c r="AG160" s="294"/>
      <c r="AH160" s="294"/>
      <c r="AI160" s="294"/>
      <c r="AJ160" s="294"/>
      <c r="AK160" s="294"/>
      <c r="AL160" s="294"/>
      <c r="AM160" s="294"/>
      <c r="AN160" s="294"/>
      <c r="AO160" s="294"/>
      <c r="AP160" s="294"/>
      <c r="AQ160" s="294"/>
      <c r="AR160" s="294"/>
      <c r="AS160" s="294"/>
      <c r="AT160" s="294"/>
      <c r="AU160" s="294"/>
      <c r="AV160" s="294"/>
      <c r="AW160" s="294"/>
      <c r="AX160" s="294"/>
      <c r="AY160" s="294"/>
      <c r="AZ160" s="294"/>
      <c r="BA160" s="294"/>
      <c r="BB160" s="294"/>
      <c r="BC160" s="294"/>
      <c r="BD160" s="294"/>
      <c r="BE160" s="294"/>
      <c r="BF160" s="294"/>
      <c r="BG160" s="294"/>
      <c r="BH160" s="294"/>
      <c r="BI160" s="294"/>
      <c r="BJ160" s="294"/>
    </row>
    <row r="161" spans="1:62" s="323" customFormat="1" ht="12.75">
      <c r="A161" s="294"/>
      <c r="B161" s="295"/>
      <c r="C161" s="294"/>
      <c r="D161" s="295"/>
      <c r="E161" s="294"/>
      <c r="F161" s="295"/>
      <c r="G161" s="294"/>
      <c r="H161" s="295"/>
      <c r="I161" s="294"/>
      <c r="J161" s="295"/>
      <c r="K161"/>
      <c r="L161" s="54"/>
      <c r="M161"/>
      <c r="N161" s="295"/>
      <c r="O161" s="296"/>
      <c r="P161" s="294"/>
      <c r="Q161" s="294"/>
      <c r="R161" s="294"/>
      <c r="S161" s="294"/>
      <c r="T161" s="294"/>
      <c r="U161" s="294"/>
      <c r="V161" s="294"/>
      <c r="W161" s="294"/>
      <c r="X161" s="294"/>
      <c r="Y161" s="294"/>
      <c r="Z161" s="294"/>
      <c r="AA161" s="294"/>
      <c r="AB161" s="294"/>
      <c r="AC161" s="294"/>
      <c r="AD161" s="294"/>
      <c r="AE161" s="294"/>
      <c r="AF161" s="294"/>
      <c r="AG161" s="294"/>
      <c r="AH161" s="294"/>
      <c r="AI161" s="294"/>
      <c r="AJ161" s="294"/>
      <c r="AK161" s="294"/>
      <c r="AL161" s="294"/>
      <c r="AM161" s="294"/>
      <c r="AN161" s="294"/>
      <c r="AO161" s="294"/>
      <c r="AP161" s="294"/>
      <c r="AQ161" s="294"/>
      <c r="AR161" s="294"/>
      <c r="AS161" s="294"/>
      <c r="AT161" s="294"/>
      <c r="AU161" s="294"/>
      <c r="AV161" s="294"/>
      <c r="AW161" s="294"/>
      <c r="AX161" s="294"/>
      <c r="AY161" s="294"/>
      <c r="AZ161" s="294"/>
      <c r="BA161" s="294"/>
      <c r="BB161" s="294"/>
      <c r="BC161" s="294"/>
      <c r="BD161" s="294"/>
      <c r="BE161" s="294"/>
      <c r="BF161" s="294"/>
      <c r="BG161" s="294"/>
      <c r="BH161" s="294"/>
      <c r="BI161" s="294"/>
      <c r="BJ161" s="294"/>
    </row>
    <row r="162" spans="1:62" s="323" customFormat="1" ht="12.75">
      <c r="A162" s="294"/>
      <c r="B162" s="295"/>
      <c r="C162" s="294"/>
      <c r="D162" s="295"/>
      <c r="E162" s="294"/>
      <c r="F162" s="295"/>
      <c r="G162" s="294"/>
      <c r="H162" s="295"/>
      <c r="I162" s="294"/>
      <c r="J162" s="295"/>
      <c r="K162"/>
      <c r="L162" s="54"/>
      <c r="M162"/>
      <c r="N162" s="295"/>
      <c r="O162" s="296"/>
      <c r="P162" s="294"/>
      <c r="Q162" s="294"/>
      <c r="R162" s="294"/>
      <c r="S162" s="294"/>
      <c r="T162" s="294"/>
      <c r="U162" s="294"/>
      <c r="V162" s="294"/>
      <c r="W162" s="294"/>
      <c r="X162" s="294"/>
      <c r="Y162" s="294"/>
      <c r="Z162" s="294"/>
      <c r="AA162" s="294"/>
      <c r="AB162" s="294"/>
      <c r="AC162" s="294"/>
      <c r="AD162" s="294"/>
      <c r="AE162" s="294"/>
      <c r="AF162" s="294"/>
      <c r="AG162" s="294"/>
      <c r="AH162" s="294"/>
      <c r="AI162" s="294"/>
      <c r="AJ162" s="294"/>
      <c r="AK162" s="294"/>
      <c r="AL162" s="294"/>
      <c r="AM162" s="294"/>
      <c r="AN162" s="294"/>
      <c r="AO162" s="294"/>
      <c r="AP162" s="294"/>
      <c r="AQ162" s="294"/>
      <c r="AR162" s="294"/>
      <c r="AS162" s="294"/>
      <c r="AT162" s="294"/>
      <c r="AU162" s="294"/>
      <c r="AV162" s="294"/>
      <c r="AW162" s="294"/>
      <c r="AX162" s="294"/>
      <c r="AY162" s="294"/>
      <c r="AZ162" s="294"/>
      <c r="BA162" s="294"/>
      <c r="BB162" s="294"/>
      <c r="BC162" s="294"/>
      <c r="BD162" s="294"/>
      <c r="BE162" s="294"/>
      <c r="BF162" s="294"/>
      <c r="BG162" s="294"/>
      <c r="BH162" s="294"/>
      <c r="BI162" s="294"/>
      <c r="BJ162" s="294"/>
    </row>
    <row r="163" spans="3:13" ht="5.25" customHeight="1">
      <c r="C163" s="294"/>
      <c r="D163" s="295"/>
      <c r="E163" s="294"/>
      <c r="F163" s="295"/>
      <c r="G163" s="294"/>
      <c r="H163" s="295"/>
      <c r="I163" s="294"/>
      <c r="J163" s="295"/>
      <c r="K163"/>
      <c r="M163"/>
    </row>
    <row r="164" spans="1:62" s="323" customFormat="1" ht="12.75">
      <c r="A164" s="294"/>
      <c r="B164" s="295"/>
      <c r="C164" s="294"/>
      <c r="D164" s="295"/>
      <c r="E164" s="294"/>
      <c r="F164" s="295"/>
      <c r="G164" s="294"/>
      <c r="H164" s="295"/>
      <c r="I164" s="294"/>
      <c r="J164" s="295"/>
      <c r="K164"/>
      <c r="L164" s="54"/>
      <c r="M164"/>
      <c r="N164" s="295"/>
      <c r="O164" s="296"/>
      <c r="P164" s="294"/>
      <c r="Q164" s="294"/>
      <c r="R164" s="294"/>
      <c r="S164" s="294"/>
      <c r="T164" s="294"/>
      <c r="U164" s="294"/>
      <c r="V164" s="294"/>
      <c r="W164" s="294"/>
      <c r="X164" s="294"/>
      <c r="Y164" s="294"/>
      <c r="Z164" s="294"/>
      <c r="AA164" s="294"/>
      <c r="AB164" s="294"/>
      <c r="AC164" s="294"/>
      <c r="AD164" s="294"/>
      <c r="AE164" s="294"/>
      <c r="AF164" s="294"/>
      <c r="AG164" s="294"/>
      <c r="AH164" s="294"/>
      <c r="AI164" s="294"/>
      <c r="AJ164" s="294"/>
      <c r="AK164" s="294"/>
      <c r="AL164" s="294"/>
      <c r="AM164" s="294"/>
      <c r="AN164" s="294"/>
      <c r="AO164" s="294"/>
      <c r="AP164" s="294"/>
      <c r="AQ164" s="294"/>
      <c r="AR164" s="294"/>
      <c r="AS164" s="294"/>
      <c r="AT164" s="294"/>
      <c r="AU164" s="294"/>
      <c r="AV164" s="294"/>
      <c r="AW164" s="294"/>
      <c r="AX164" s="294"/>
      <c r="AY164" s="294"/>
      <c r="AZ164" s="294"/>
      <c r="BA164" s="294"/>
      <c r="BB164" s="294"/>
      <c r="BC164" s="294"/>
      <c r="BD164" s="294"/>
      <c r="BE164" s="294"/>
      <c r="BF164" s="294"/>
      <c r="BG164" s="294"/>
      <c r="BH164" s="294"/>
      <c r="BI164" s="294"/>
      <c r="BJ164" s="294"/>
    </row>
    <row r="165" spans="1:62" s="323" customFormat="1" ht="12.75">
      <c r="A165" s="294"/>
      <c r="B165" s="295"/>
      <c r="C165" s="294"/>
      <c r="D165" s="295"/>
      <c r="E165" s="294"/>
      <c r="F165" s="295"/>
      <c r="G165" s="294"/>
      <c r="H165" s="295"/>
      <c r="I165" s="294"/>
      <c r="J165" s="295"/>
      <c r="K165"/>
      <c r="L165" s="54"/>
      <c r="M165"/>
      <c r="N165" s="295"/>
      <c r="O165" s="296"/>
      <c r="P165" s="294"/>
      <c r="Q165" s="294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  <c r="AB165" s="294"/>
      <c r="AC165" s="294"/>
      <c r="AD165" s="294"/>
      <c r="AE165" s="294"/>
      <c r="AF165" s="294"/>
      <c r="AG165" s="294"/>
      <c r="AH165" s="294"/>
      <c r="AI165" s="294"/>
      <c r="AJ165" s="294"/>
      <c r="AK165" s="294"/>
      <c r="AL165" s="294"/>
      <c r="AM165" s="294"/>
      <c r="AN165" s="294"/>
      <c r="AO165" s="294"/>
      <c r="AP165" s="294"/>
      <c r="AQ165" s="294"/>
      <c r="AR165" s="294"/>
      <c r="AS165" s="294"/>
      <c r="AT165" s="294"/>
      <c r="AU165" s="294"/>
      <c r="AV165" s="294"/>
      <c r="AW165" s="294"/>
      <c r="AX165" s="294"/>
      <c r="AY165" s="294"/>
      <c r="AZ165" s="294"/>
      <c r="BA165" s="294"/>
      <c r="BB165" s="294"/>
      <c r="BC165" s="294"/>
      <c r="BD165" s="294"/>
      <c r="BE165" s="294"/>
      <c r="BF165" s="294"/>
      <c r="BG165" s="294"/>
      <c r="BH165" s="294"/>
      <c r="BI165" s="294"/>
      <c r="BJ165" s="294"/>
    </row>
    <row r="166" spans="1:62" s="323" customFormat="1" ht="12.75">
      <c r="A166" s="294"/>
      <c r="B166" s="295"/>
      <c r="C166" s="294"/>
      <c r="D166" s="295"/>
      <c r="E166" s="294"/>
      <c r="F166" s="295"/>
      <c r="G166" s="294"/>
      <c r="H166" s="295"/>
      <c r="I166" s="294"/>
      <c r="J166" s="295"/>
      <c r="K166"/>
      <c r="L166" s="54"/>
      <c r="M166"/>
      <c r="N166" s="295"/>
      <c r="O166" s="296"/>
      <c r="P166" s="294"/>
      <c r="Q166" s="294"/>
      <c r="R166" s="294"/>
      <c r="S166" s="294"/>
      <c r="T166" s="294"/>
      <c r="U166" s="294"/>
      <c r="V166" s="294"/>
      <c r="W166" s="294"/>
      <c r="X166" s="294"/>
      <c r="Y166" s="294"/>
      <c r="Z166" s="294"/>
      <c r="AA166" s="294"/>
      <c r="AB166" s="294"/>
      <c r="AC166" s="294"/>
      <c r="AD166" s="294"/>
      <c r="AE166" s="294"/>
      <c r="AF166" s="294"/>
      <c r="AG166" s="294"/>
      <c r="AH166" s="294"/>
      <c r="AI166" s="294"/>
      <c r="AJ166" s="294"/>
      <c r="AK166" s="294"/>
      <c r="AL166" s="294"/>
      <c r="AM166" s="294"/>
      <c r="AN166" s="294"/>
      <c r="AO166" s="294"/>
      <c r="AP166" s="294"/>
      <c r="AQ166" s="294"/>
      <c r="AR166" s="294"/>
      <c r="AS166" s="294"/>
      <c r="AT166" s="294"/>
      <c r="AU166" s="294"/>
      <c r="AV166" s="294"/>
      <c r="AW166" s="294"/>
      <c r="AX166" s="294"/>
      <c r="AY166" s="294"/>
      <c r="AZ166" s="294"/>
      <c r="BA166" s="294"/>
      <c r="BB166" s="294"/>
      <c r="BC166" s="294"/>
      <c r="BD166" s="294"/>
      <c r="BE166" s="294"/>
      <c r="BF166" s="294"/>
      <c r="BG166" s="294"/>
      <c r="BH166" s="294"/>
      <c r="BI166" s="294"/>
      <c r="BJ166" s="294"/>
    </row>
    <row r="167" spans="1:62" s="323" customFormat="1" ht="12.75">
      <c r="A167" s="294"/>
      <c r="B167" s="295"/>
      <c r="C167" s="294"/>
      <c r="D167" s="295"/>
      <c r="E167" s="294"/>
      <c r="F167" s="295"/>
      <c r="G167" s="294"/>
      <c r="H167" s="295"/>
      <c r="I167" s="294"/>
      <c r="J167" s="295"/>
      <c r="K167"/>
      <c r="L167" s="54"/>
      <c r="M167"/>
      <c r="N167" s="295"/>
      <c r="O167" s="296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  <c r="AC167" s="294"/>
      <c r="AD167" s="294"/>
      <c r="AE167" s="294"/>
      <c r="AF167" s="294"/>
      <c r="AG167" s="294"/>
      <c r="AH167" s="294"/>
      <c r="AI167" s="294"/>
      <c r="AJ167" s="294"/>
      <c r="AK167" s="294"/>
      <c r="AL167" s="294"/>
      <c r="AM167" s="294"/>
      <c r="AN167" s="294"/>
      <c r="AO167" s="294"/>
      <c r="AP167" s="294"/>
      <c r="AQ167" s="294"/>
      <c r="AR167" s="294"/>
      <c r="AS167" s="294"/>
      <c r="AT167" s="294"/>
      <c r="AU167" s="294"/>
      <c r="AV167" s="294"/>
      <c r="AW167" s="294"/>
      <c r="AX167" s="294"/>
      <c r="AY167" s="294"/>
      <c r="AZ167" s="294"/>
      <c r="BA167" s="294"/>
      <c r="BB167" s="294"/>
      <c r="BC167" s="294"/>
      <c r="BD167" s="294"/>
      <c r="BE167" s="294"/>
      <c r="BF167" s="294"/>
      <c r="BG167" s="294"/>
      <c r="BH167" s="294"/>
      <c r="BI167" s="294"/>
      <c r="BJ167" s="294"/>
    </row>
    <row r="168" spans="1:62" s="323" customFormat="1" ht="12.75">
      <c r="A168" s="294"/>
      <c r="B168" s="295"/>
      <c r="C168" s="294"/>
      <c r="D168" s="295"/>
      <c r="E168" s="294"/>
      <c r="F168" s="295"/>
      <c r="G168" s="294"/>
      <c r="H168" s="295"/>
      <c r="I168" s="294"/>
      <c r="J168" s="295"/>
      <c r="K168"/>
      <c r="L168" s="54"/>
      <c r="M168"/>
      <c r="N168" s="295"/>
      <c r="O168" s="296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294"/>
      <c r="AA168" s="294"/>
      <c r="AB168" s="294"/>
      <c r="AC168" s="294"/>
      <c r="AD168" s="294"/>
      <c r="AE168" s="294"/>
      <c r="AF168" s="294"/>
      <c r="AG168" s="294"/>
      <c r="AH168" s="294"/>
      <c r="AI168" s="294"/>
      <c r="AJ168" s="294"/>
      <c r="AK168" s="294"/>
      <c r="AL168" s="294"/>
      <c r="AM168" s="294"/>
      <c r="AN168" s="294"/>
      <c r="AO168" s="294"/>
      <c r="AP168" s="294"/>
      <c r="AQ168" s="294"/>
      <c r="AR168" s="294"/>
      <c r="AS168" s="294"/>
      <c r="AT168" s="294"/>
      <c r="AU168" s="294"/>
      <c r="AV168" s="294"/>
      <c r="AW168" s="294"/>
      <c r="AX168" s="294"/>
      <c r="AY168" s="294"/>
      <c r="AZ168" s="294"/>
      <c r="BA168" s="294"/>
      <c r="BB168" s="294"/>
      <c r="BC168" s="294"/>
      <c r="BD168" s="294"/>
      <c r="BE168" s="294"/>
      <c r="BF168" s="294"/>
      <c r="BG168" s="294"/>
      <c r="BH168" s="294"/>
      <c r="BI168" s="294"/>
      <c r="BJ168" s="294"/>
    </row>
    <row r="169" spans="1:62" s="323" customFormat="1" ht="12.75">
      <c r="A169" s="294"/>
      <c r="B169" s="295"/>
      <c r="C169" s="294"/>
      <c r="D169" s="295"/>
      <c r="E169" s="294"/>
      <c r="F169" s="295"/>
      <c r="G169" s="294"/>
      <c r="H169" s="295"/>
      <c r="I169" s="294"/>
      <c r="J169" s="295"/>
      <c r="K169"/>
      <c r="L169" s="54"/>
      <c r="M169"/>
      <c r="N169" s="295"/>
      <c r="O169" s="296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  <c r="AB169" s="294"/>
      <c r="AC169" s="294"/>
      <c r="AD169" s="294"/>
      <c r="AE169" s="294"/>
      <c r="AF169" s="294"/>
      <c r="AG169" s="294"/>
      <c r="AH169" s="294"/>
      <c r="AI169" s="294"/>
      <c r="AJ169" s="294"/>
      <c r="AK169" s="294"/>
      <c r="AL169" s="294"/>
      <c r="AM169" s="294"/>
      <c r="AN169" s="294"/>
      <c r="AO169" s="294"/>
      <c r="AP169" s="294"/>
      <c r="AQ169" s="294"/>
      <c r="AR169" s="294"/>
      <c r="AS169" s="294"/>
      <c r="AT169" s="294"/>
      <c r="AU169" s="294"/>
      <c r="AV169" s="294"/>
      <c r="AW169" s="294"/>
      <c r="AX169" s="294"/>
      <c r="AY169" s="294"/>
      <c r="AZ169" s="294"/>
      <c r="BA169" s="294"/>
      <c r="BB169" s="294"/>
      <c r="BC169" s="294"/>
      <c r="BD169" s="294"/>
      <c r="BE169" s="294"/>
      <c r="BF169" s="294"/>
      <c r="BG169" s="294"/>
      <c r="BH169" s="294"/>
      <c r="BI169" s="294"/>
      <c r="BJ169" s="294"/>
    </row>
    <row r="170" spans="1:62" s="411" customFormat="1" ht="13.5" customHeight="1">
      <c r="A170" s="294"/>
      <c r="B170" s="295"/>
      <c r="C170" s="294"/>
      <c r="D170" s="295"/>
      <c r="E170" s="294"/>
      <c r="F170" s="295"/>
      <c r="G170" s="294"/>
      <c r="H170" s="295"/>
      <c r="I170" s="294"/>
      <c r="J170" s="295"/>
      <c r="K170"/>
      <c r="L170" s="54"/>
      <c r="M170"/>
      <c r="N170" s="295"/>
      <c r="O170" s="296"/>
      <c r="P170" s="294"/>
      <c r="Q170" s="294"/>
      <c r="R170" s="294"/>
      <c r="S170" s="294"/>
      <c r="T170" s="294"/>
      <c r="U170" s="294"/>
      <c r="V170" s="294"/>
      <c r="W170" s="294"/>
      <c r="X170" s="294"/>
      <c r="Y170" s="294"/>
      <c r="Z170" s="294"/>
      <c r="AA170" s="294"/>
      <c r="AB170" s="294"/>
      <c r="AC170" s="294"/>
      <c r="AD170" s="294"/>
      <c r="AE170" s="294"/>
      <c r="AF170" s="294"/>
      <c r="AG170" s="294"/>
      <c r="AH170" s="294"/>
      <c r="AI170" s="294"/>
      <c r="AJ170" s="294"/>
      <c r="AK170" s="294"/>
      <c r="AL170" s="294"/>
      <c r="AM170" s="294"/>
      <c r="AN170" s="294"/>
      <c r="AO170" s="294"/>
      <c r="AP170" s="294"/>
      <c r="AQ170" s="294"/>
      <c r="AR170" s="294"/>
      <c r="AS170" s="294"/>
      <c r="AT170" s="294"/>
      <c r="AU170" s="294"/>
      <c r="AV170" s="294"/>
      <c r="AW170" s="294"/>
      <c r="AX170" s="294"/>
      <c r="AY170" s="294"/>
      <c r="AZ170" s="294"/>
      <c r="BA170" s="294"/>
      <c r="BB170" s="294"/>
      <c r="BC170" s="294"/>
      <c r="BD170" s="294"/>
      <c r="BE170" s="294"/>
      <c r="BF170" s="294"/>
      <c r="BG170" s="294"/>
      <c r="BH170" s="294"/>
      <c r="BI170" s="294"/>
      <c r="BJ170" s="294"/>
    </row>
    <row r="171" spans="1:62" s="411" customFormat="1" ht="12.75">
      <c r="A171" s="294"/>
      <c r="B171" s="295"/>
      <c r="C171" s="294"/>
      <c r="D171" s="295"/>
      <c r="E171" s="294"/>
      <c r="F171" s="295"/>
      <c r="G171" s="294"/>
      <c r="H171" s="295"/>
      <c r="I171" s="294"/>
      <c r="J171" s="295"/>
      <c r="K171"/>
      <c r="L171" s="54"/>
      <c r="M171"/>
      <c r="N171" s="295"/>
      <c r="O171" s="296"/>
      <c r="P171" s="294"/>
      <c r="Q171" s="294"/>
      <c r="R171" s="294"/>
      <c r="S171" s="294"/>
      <c r="T171" s="294"/>
      <c r="U171" s="294"/>
      <c r="V171" s="294"/>
      <c r="W171" s="294"/>
      <c r="X171" s="294"/>
      <c r="Y171" s="294"/>
      <c r="Z171" s="294"/>
      <c r="AA171" s="294"/>
      <c r="AB171" s="294"/>
      <c r="AC171" s="294"/>
      <c r="AD171" s="294"/>
      <c r="AE171" s="294"/>
      <c r="AF171" s="294"/>
      <c r="AG171" s="294"/>
      <c r="AH171" s="294"/>
      <c r="AI171" s="294"/>
      <c r="AJ171" s="294"/>
      <c r="AK171" s="294"/>
      <c r="AL171" s="294"/>
      <c r="AM171" s="294"/>
      <c r="AN171" s="294"/>
      <c r="AO171" s="294"/>
      <c r="AP171" s="294"/>
      <c r="AQ171" s="294"/>
      <c r="AR171" s="294"/>
      <c r="AS171" s="294"/>
      <c r="AT171" s="294"/>
      <c r="AU171" s="294"/>
      <c r="AV171" s="294"/>
      <c r="AW171" s="294"/>
      <c r="AX171" s="294"/>
      <c r="AY171" s="294"/>
      <c r="AZ171" s="294"/>
      <c r="BA171" s="294"/>
      <c r="BB171" s="294"/>
      <c r="BC171" s="294"/>
      <c r="BD171" s="294"/>
      <c r="BE171" s="294"/>
      <c r="BF171" s="294"/>
      <c r="BG171" s="294"/>
      <c r="BH171" s="294"/>
      <c r="BI171" s="294"/>
      <c r="BJ171" s="294"/>
    </row>
    <row r="172" spans="1:62" s="323" customFormat="1" ht="12.75">
      <c r="A172" s="294"/>
      <c r="B172" s="295"/>
      <c r="C172" s="294"/>
      <c r="D172" s="295"/>
      <c r="E172" s="294"/>
      <c r="F172" s="295"/>
      <c r="G172" s="294"/>
      <c r="H172" s="295"/>
      <c r="I172" s="294"/>
      <c r="J172" s="295"/>
      <c r="K172"/>
      <c r="L172" s="54"/>
      <c r="M172"/>
      <c r="N172" s="295"/>
      <c r="O172" s="296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  <c r="AC172" s="294"/>
      <c r="AD172" s="294"/>
      <c r="AE172" s="294"/>
      <c r="AF172" s="294"/>
      <c r="AG172" s="294"/>
      <c r="AH172" s="294"/>
      <c r="AI172" s="294"/>
      <c r="AJ172" s="294"/>
      <c r="AK172" s="294"/>
      <c r="AL172" s="294"/>
      <c r="AM172" s="294"/>
      <c r="AN172" s="294"/>
      <c r="AO172" s="294"/>
      <c r="AP172" s="294"/>
      <c r="AQ172" s="294"/>
      <c r="AR172" s="294"/>
      <c r="AS172" s="294"/>
      <c r="AT172" s="294"/>
      <c r="AU172" s="294"/>
      <c r="AV172" s="294"/>
      <c r="AW172" s="294"/>
      <c r="AX172" s="294"/>
      <c r="AY172" s="294"/>
      <c r="AZ172" s="294"/>
      <c r="BA172" s="294"/>
      <c r="BB172" s="294"/>
      <c r="BC172" s="294"/>
      <c r="BD172" s="294"/>
      <c r="BE172" s="294"/>
      <c r="BF172" s="294"/>
      <c r="BG172" s="294"/>
      <c r="BH172" s="294"/>
      <c r="BI172" s="294"/>
      <c r="BJ172" s="294"/>
    </row>
    <row r="173" spans="1:62" s="323" customFormat="1" ht="12.75">
      <c r="A173" s="294"/>
      <c r="B173" s="295"/>
      <c r="C173" s="294"/>
      <c r="D173" s="295"/>
      <c r="E173" s="294"/>
      <c r="F173" s="295"/>
      <c r="G173" s="294"/>
      <c r="H173" s="295"/>
      <c r="I173" s="294"/>
      <c r="J173" s="295"/>
      <c r="K173"/>
      <c r="L173" s="54"/>
      <c r="M173"/>
      <c r="N173" s="295"/>
      <c r="O173" s="296"/>
      <c r="P173" s="294"/>
      <c r="Q173" s="294"/>
      <c r="R173" s="294"/>
      <c r="S173" s="294"/>
      <c r="T173" s="294"/>
      <c r="U173" s="294"/>
      <c r="V173" s="294"/>
      <c r="W173" s="294"/>
      <c r="X173" s="294"/>
      <c r="Y173" s="294"/>
      <c r="Z173" s="294"/>
      <c r="AA173" s="294"/>
      <c r="AB173" s="294"/>
      <c r="AC173" s="294"/>
      <c r="AD173" s="294"/>
      <c r="AE173" s="294"/>
      <c r="AF173" s="294"/>
      <c r="AG173" s="294"/>
      <c r="AH173" s="294"/>
      <c r="AI173" s="294"/>
      <c r="AJ173" s="294"/>
      <c r="AK173" s="294"/>
      <c r="AL173" s="294"/>
      <c r="AM173" s="294"/>
      <c r="AN173" s="294"/>
      <c r="AO173" s="294"/>
      <c r="AP173" s="294"/>
      <c r="AQ173" s="294"/>
      <c r="AR173" s="294"/>
      <c r="AS173" s="294"/>
      <c r="AT173" s="294"/>
      <c r="AU173" s="294"/>
      <c r="AV173" s="294"/>
      <c r="AW173" s="294"/>
      <c r="AX173" s="294"/>
      <c r="AY173" s="294"/>
      <c r="AZ173" s="294"/>
      <c r="BA173" s="294"/>
      <c r="BB173" s="294"/>
      <c r="BC173" s="294"/>
      <c r="BD173" s="294"/>
      <c r="BE173" s="294"/>
      <c r="BF173" s="294"/>
      <c r="BG173" s="294"/>
      <c r="BH173" s="294"/>
      <c r="BI173" s="294"/>
      <c r="BJ173" s="294"/>
    </row>
    <row r="174" spans="1:62" s="323" customFormat="1" ht="12.75">
      <c r="A174" s="294"/>
      <c r="B174" s="295"/>
      <c r="C174" s="294"/>
      <c r="D174" s="295"/>
      <c r="E174" s="294"/>
      <c r="F174" s="295"/>
      <c r="G174" s="294"/>
      <c r="H174" s="295"/>
      <c r="I174" s="294"/>
      <c r="J174" s="295"/>
      <c r="K174"/>
      <c r="L174" s="54"/>
      <c r="M174"/>
      <c r="N174" s="295"/>
      <c r="O174" s="296"/>
      <c r="P174" s="294"/>
      <c r="Q174" s="294"/>
      <c r="R174" s="294"/>
      <c r="S174" s="294"/>
      <c r="T174" s="294"/>
      <c r="U174" s="294"/>
      <c r="V174" s="294"/>
      <c r="W174" s="294"/>
      <c r="X174" s="294"/>
      <c r="Y174" s="294"/>
      <c r="Z174" s="294"/>
      <c r="AA174" s="294"/>
      <c r="AB174" s="294"/>
      <c r="AC174" s="294"/>
      <c r="AD174" s="294"/>
      <c r="AE174" s="294"/>
      <c r="AF174" s="294"/>
      <c r="AG174" s="294"/>
      <c r="AH174" s="294"/>
      <c r="AI174" s="294"/>
      <c r="AJ174" s="294"/>
      <c r="AK174" s="294"/>
      <c r="AL174" s="294"/>
      <c r="AM174" s="294"/>
      <c r="AN174" s="294"/>
      <c r="AO174" s="294"/>
      <c r="AP174" s="294"/>
      <c r="AQ174" s="294"/>
      <c r="AR174" s="294"/>
      <c r="AS174" s="294"/>
      <c r="AT174" s="294"/>
      <c r="AU174" s="294"/>
      <c r="AV174" s="294"/>
      <c r="AW174" s="294"/>
      <c r="AX174" s="294"/>
      <c r="AY174" s="294"/>
      <c r="AZ174" s="294"/>
      <c r="BA174" s="294"/>
      <c r="BB174" s="294"/>
      <c r="BC174" s="294"/>
      <c r="BD174" s="294"/>
      <c r="BE174" s="294"/>
      <c r="BF174" s="294"/>
      <c r="BG174" s="294"/>
      <c r="BH174" s="294"/>
      <c r="BI174" s="294"/>
      <c r="BJ174" s="294"/>
    </row>
    <row r="175" spans="1:62" s="323" customFormat="1" ht="12.75">
      <c r="A175" s="294"/>
      <c r="B175" s="295"/>
      <c r="C175" s="294"/>
      <c r="D175" s="295"/>
      <c r="E175" s="294"/>
      <c r="F175" s="295"/>
      <c r="G175" s="294"/>
      <c r="H175" s="295"/>
      <c r="I175" s="294"/>
      <c r="J175" s="295"/>
      <c r="K175"/>
      <c r="L175" s="54"/>
      <c r="M175"/>
      <c r="N175" s="295"/>
      <c r="O175" s="296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  <c r="AC175" s="294"/>
      <c r="AD175" s="294"/>
      <c r="AE175" s="294"/>
      <c r="AF175" s="294"/>
      <c r="AG175" s="294"/>
      <c r="AH175" s="294"/>
      <c r="AI175" s="294"/>
      <c r="AJ175" s="294"/>
      <c r="AK175" s="294"/>
      <c r="AL175" s="294"/>
      <c r="AM175" s="294"/>
      <c r="AN175" s="294"/>
      <c r="AO175" s="294"/>
      <c r="AP175" s="294"/>
      <c r="AQ175" s="294"/>
      <c r="AR175" s="294"/>
      <c r="AS175" s="294"/>
      <c r="AT175" s="294"/>
      <c r="AU175" s="294"/>
      <c r="AV175" s="294"/>
      <c r="AW175" s="294"/>
      <c r="AX175" s="294"/>
      <c r="AY175" s="294"/>
      <c r="AZ175" s="294"/>
      <c r="BA175" s="294"/>
      <c r="BB175" s="294"/>
      <c r="BC175" s="294"/>
      <c r="BD175" s="294"/>
      <c r="BE175" s="294"/>
      <c r="BF175" s="294"/>
      <c r="BG175" s="294"/>
      <c r="BH175" s="294"/>
      <c r="BI175" s="294"/>
      <c r="BJ175" s="294"/>
    </row>
    <row r="176" spans="3:13" ht="12.75">
      <c r="C176" s="294"/>
      <c r="D176" s="295"/>
      <c r="E176" s="294"/>
      <c r="F176" s="295"/>
      <c r="G176" s="294"/>
      <c r="H176" s="295"/>
      <c r="I176" s="294"/>
      <c r="J176" s="295"/>
      <c r="K176"/>
      <c r="M176"/>
    </row>
    <row r="177" spans="3:13" ht="12.75">
      <c r="C177" s="294"/>
      <c r="D177" s="295"/>
      <c r="E177" s="294"/>
      <c r="F177" s="295"/>
      <c r="G177" s="294"/>
      <c r="H177" s="295"/>
      <c r="I177" s="294"/>
      <c r="J177" s="295"/>
      <c r="K177"/>
      <c r="M177"/>
    </row>
    <row r="178" spans="3:13" ht="12.75">
      <c r="C178" s="294"/>
      <c r="D178" s="295"/>
      <c r="E178" s="294"/>
      <c r="F178" s="295"/>
      <c r="G178" s="294"/>
      <c r="H178" s="295"/>
      <c r="I178" s="294"/>
      <c r="J178" s="295"/>
      <c r="K178"/>
      <c r="M178"/>
    </row>
    <row r="179" spans="3:13" ht="12.75">
      <c r="C179" s="294"/>
      <c r="D179" s="295"/>
      <c r="E179" s="294"/>
      <c r="F179" s="295"/>
      <c r="G179" s="294"/>
      <c r="H179" s="295"/>
      <c r="I179" s="294"/>
      <c r="J179" s="295"/>
      <c r="K179"/>
      <c r="M179"/>
    </row>
    <row r="180" spans="3:13" ht="12.75">
      <c r="C180" s="294"/>
      <c r="D180" s="295"/>
      <c r="E180" s="294"/>
      <c r="F180" s="295"/>
      <c r="G180" s="294"/>
      <c r="H180" s="295"/>
      <c r="I180" s="294"/>
      <c r="J180" s="295"/>
      <c r="K180"/>
      <c r="M180"/>
    </row>
    <row r="181" spans="3:13" ht="12.75">
      <c r="C181" s="294"/>
      <c r="D181" s="295"/>
      <c r="E181" s="294"/>
      <c r="F181" s="295"/>
      <c r="G181" s="294"/>
      <c r="H181" s="295"/>
      <c r="I181" s="294"/>
      <c r="J181" s="295"/>
      <c r="K181"/>
      <c r="M181"/>
    </row>
    <row r="182" spans="3:13" ht="12.75">
      <c r="C182" s="294"/>
      <c r="D182" s="295"/>
      <c r="E182" s="294"/>
      <c r="F182" s="295"/>
      <c r="G182" s="294"/>
      <c r="H182" s="295"/>
      <c r="I182" s="294"/>
      <c r="J182" s="295"/>
      <c r="K182"/>
      <c r="M182"/>
    </row>
    <row r="183" spans="3:13" ht="12.75">
      <c r="C183" s="294"/>
      <c r="D183" s="295"/>
      <c r="E183" s="294"/>
      <c r="F183" s="295"/>
      <c r="G183" s="294"/>
      <c r="H183" s="295"/>
      <c r="I183" s="294"/>
      <c r="J183" s="295"/>
      <c r="K183"/>
      <c r="M183"/>
    </row>
    <row r="184" spans="3:13" ht="12.75">
      <c r="C184" s="294"/>
      <c r="D184" s="295"/>
      <c r="E184" s="294"/>
      <c r="F184" s="295"/>
      <c r="G184" s="294"/>
      <c r="H184" s="295"/>
      <c r="I184" s="294"/>
      <c r="J184" s="295"/>
      <c r="K184"/>
      <c r="M184"/>
    </row>
    <row r="185" spans="3:13" ht="12.75">
      <c r="C185" s="294"/>
      <c r="D185" s="295"/>
      <c r="E185" s="294"/>
      <c r="F185" s="295"/>
      <c r="G185" s="294"/>
      <c r="H185" s="295"/>
      <c r="I185" s="294"/>
      <c r="J185" s="295"/>
      <c r="K185"/>
      <c r="M185"/>
    </row>
    <row r="186" spans="3:13" ht="12.75">
      <c r="C186" s="294"/>
      <c r="D186" s="295"/>
      <c r="E186" s="294"/>
      <c r="F186" s="295"/>
      <c r="G186" s="294"/>
      <c r="H186" s="295"/>
      <c r="I186" s="294"/>
      <c r="J186" s="295"/>
      <c r="K186"/>
      <c r="M186"/>
    </row>
    <row r="187" spans="3:13" ht="12.75">
      <c r="C187" s="294"/>
      <c r="D187" s="295"/>
      <c r="E187" s="294"/>
      <c r="F187" s="295"/>
      <c r="G187" s="294"/>
      <c r="H187" s="295"/>
      <c r="I187" s="294"/>
      <c r="J187" s="295"/>
      <c r="K187"/>
      <c r="M187"/>
    </row>
    <row r="188" spans="3:13" ht="12.75">
      <c r="C188" s="294"/>
      <c r="D188" s="295"/>
      <c r="E188" s="294"/>
      <c r="F188" s="295"/>
      <c r="G188" s="294"/>
      <c r="H188" s="295"/>
      <c r="I188" s="294"/>
      <c r="J188" s="295"/>
      <c r="K188"/>
      <c r="M188"/>
    </row>
    <row r="189" spans="3:13" ht="12.75">
      <c r="C189" s="294"/>
      <c r="D189" s="295"/>
      <c r="E189" s="294"/>
      <c r="F189" s="295"/>
      <c r="G189" s="294"/>
      <c r="H189" s="295"/>
      <c r="I189" s="294"/>
      <c r="J189" s="295"/>
      <c r="K189"/>
      <c r="M189"/>
    </row>
    <row r="190" spans="3:13" ht="12.75">
      <c r="C190" s="294"/>
      <c r="D190" s="295"/>
      <c r="E190" s="294"/>
      <c r="F190" s="295"/>
      <c r="G190" s="294"/>
      <c r="H190" s="295"/>
      <c r="I190" s="294"/>
      <c r="J190" s="295"/>
      <c r="K190"/>
      <c r="M190"/>
    </row>
    <row r="191" spans="3:13" ht="12.75">
      <c r="C191" s="294"/>
      <c r="D191" s="295"/>
      <c r="E191" s="294"/>
      <c r="F191" s="295"/>
      <c r="G191" s="294"/>
      <c r="H191" s="295"/>
      <c r="I191" s="294"/>
      <c r="J191" s="295"/>
      <c r="K191"/>
      <c r="M191"/>
    </row>
    <row r="192" spans="3:13" ht="12.75">
      <c r="C192" s="294"/>
      <c r="D192" s="295"/>
      <c r="E192" s="294"/>
      <c r="F192" s="295"/>
      <c r="G192" s="294"/>
      <c r="H192" s="295"/>
      <c r="I192" s="294"/>
      <c r="J192" s="295"/>
      <c r="K192"/>
      <c r="M192"/>
    </row>
    <row r="193" spans="3:13" ht="12.75">
      <c r="C193" s="294"/>
      <c r="D193" s="295"/>
      <c r="E193" s="294"/>
      <c r="F193" s="295"/>
      <c r="G193" s="294"/>
      <c r="H193" s="295"/>
      <c r="I193" s="294"/>
      <c r="J193" s="295"/>
      <c r="K193"/>
      <c r="M193"/>
    </row>
    <row r="194" spans="3:13" ht="12.75">
      <c r="C194" s="294"/>
      <c r="D194" s="295"/>
      <c r="E194" s="294"/>
      <c r="F194" s="295"/>
      <c r="G194" s="294"/>
      <c r="H194" s="295"/>
      <c r="I194" s="294"/>
      <c r="J194" s="295"/>
      <c r="K194"/>
      <c r="M194"/>
    </row>
    <row r="195" spans="3:13" ht="12.75">
      <c r="C195" s="294"/>
      <c r="D195" s="295"/>
      <c r="E195" s="294"/>
      <c r="F195" s="295"/>
      <c r="G195" s="294"/>
      <c r="H195" s="295"/>
      <c r="I195" s="294"/>
      <c r="J195" s="295"/>
      <c r="K195"/>
      <c r="M195"/>
    </row>
    <row r="196" spans="3:13" ht="12.75">
      <c r="C196" s="294"/>
      <c r="D196" s="295"/>
      <c r="E196" s="294"/>
      <c r="F196" s="295"/>
      <c r="G196" s="294"/>
      <c r="H196" s="295"/>
      <c r="I196" s="294"/>
      <c r="J196" s="295"/>
      <c r="K196"/>
      <c r="M196"/>
    </row>
    <row r="197" spans="3:13" ht="12.75">
      <c r="C197" s="294"/>
      <c r="D197" s="295"/>
      <c r="E197" s="294"/>
      <c r="F197" s="295"/>
      <c r="G197" s="294"/>
      <c r="H197" s="295"/>
      <c r="I197" s="294"/>
      <c r="J197" s="295"/>
      <c r="K197"/>
      <c r="M197"/>
    </row>
    <row r="198" spans="3:13" ht="12.75">
      <c r="C198" s="294"/>
      <c r="D198" s="295"/>
      <c r="E198" s="294"/>
      <c r="F198" s="295"/>
      <c r="G198" s="294"/>
      <c r="H198" s="295"/>
      <c r="I198" s="294"/>
      <c r="J198" s="295"/>
      <c r="K198"/>
      <c r="M198"/>
    </row>
    <row r="199" spans="3:13" ht="12.75">
      <c r="C199" s="294"/>
      <c r="D199" s="295"/>
      <c r="E199" s="294"/>
      <c r="F199" s="295"/>
      <c r="G199" s="294"/>
      <c r="H199" s="295"/>
      <c r="I199" s="294"/>
      <c r="J199" s="295"/>
      <c r="K199"/>
      <c r="M199"/>
    </row>
    <row r="200" spans="3:13" ht="12.75">
      <c r="C200" s="294"/>
      <c r="D200" s="295"/>
      <c r="E200" s="294"/>
      <c r="F200" s="295"/>
      <c r="G200" s="294"/>
      <c r="H200" s="295"/>
      <c r="I200" s="294"/>
      <c r="J200" s="295"/>
      <c r="K200"/>
      <c r="M200"/>
    </row>
    <row r="201" spans="3:13" ht="12.75">
      <c r="C201" s="294"/>
      <c r="D201" s="295"/>
      <c r="E201" s="294"/>
      <c r="F201" s="295"/>
      <c r="G201" s="294"/>
      <c r="H201" s="295"/>
      <c r="I201" s="294"/>
      <c r="J201" s="295"/>
      <c r="K201"/>
      <c r="M201"/>
    </row>
    <row r="202" spans="3:13" ht="12.75">
      <c r="C202" s="294"/>
      <c r="D202" s="295"/>
      <c r="E202" s="294"/>
      <c r="F202" s="295"/>
      <c r="G202" s="294"/>
      <c r="H202" s="295"/>
      <c r="I202" s="294"/>
      <c r="J202" s="295"/>
      <c r="K202"/>
      <c r="M202"/>
    </row>
    <row r="203" spans="3:13" ht="12.75">
      <c r="C203" s="294"/>
      <c r="D203" s="295"/>
      <c r="E203" s="294"/>
      <c r="F203" s="295"/>
      <c r="G203" s="294"/>
      <c r="H203" s="295"/>
      <c r="I203" s="294"/>
      <c r="J203" s="295"/>
      <c r="K203"/>
      <c r="M203"/>
    </row>
    <row r="204" spans="3:13" ht="12.75">
      <c r="C204" s="294"/>
      <c r="D204" s="295"/>
      <c r="E204" s="294"/>
      <c r="F204" s="295"/>
      <c r="G204" s="294"/>
      <c r="H204" s="295"/>
      <c r="I204" s="294"/>
      <c r="J204" s="295"/>
      <c r="K204"/>
      <c r="M204"/>
    </row>
    <row r="205" spans="3:13" ht="12.75">
      <c r="C205" s="294"/>
      <c r="D205" s="295"/>
      <c r="E205" s="294"/>
      <c r="F205" s="295"/>
      <c r="G205" s="294"/>
      <c r="H205" s="295"/>
      <c r="I205" s="294"/>
      <c r="J205" s="295"/>
      <c r="K205"/>
      <c r="M205"/>
    </row>
    <row r="206" spans="3:13" ht="12.75">
      <c r="C206" s="294"/>
      <c r="D206" s="295"/>
      <c r="E206" s="294"/>
      <c r="F206" s="295"/>
      <c r="G206" s="294"/>
      <c r="H206" s="295"/>
      <c r="I206" s="294"/>
      <c r="J206" s="295"/>
      <c r="K206"/>
      <c r="M206"/>
    </row>
    <row r="207" spans="3:13" ht="12.75">
      <c r="C207" s="294"/>
      <c r="D207" s="295"/>
      <c r="E207" s="294"/>
      <c r="F207" s="295"/>
      <c r="G207" s="294"/>
      <c r="H207" s="295"/>
      <c r="I207" s="294"/>
      <c r="J207" s="295"/>
      <c r="K207"/>
      <c r="M207"/>
    </row>
    <row r="208" spans="3:13" ht="12.75">
      <c r="C208" s="294"/>
      <c r="D208" s="295"/>
      <c r="E208" s="294"/>
      <c r="F208" s="295"/>
      <c r="G208" s="294"/>
      <c r="H208" s="295"/>
      <c r="I208" s="294"/>
      <c r="J208" s="295"/>
      <c r="K208"/>
      <c r="M208"/>
    </row>
    <row r="209" spans="3:13" ht="12.75">
      <c r="C209" s="294"/>
      <c r="D209" s="295"/>
      <c r="E209" s="294"/>
      <c r="F209" s="295"/>
      <c r="G209" s="294"/>
      <c r="H209" s="295"/>
      <c r="I209" s="294"/>
      <c r="J209" s="295"/>
      <c r="K209"/>
      <c r="M209"/>
    </row>
    <row r="210" spans="3:13" ht="12.75">
      <c r="C210" s="294"/>
      <c r="D210" s="295"/>
      <c r="E210" s="294"/>
      <c r="F210" s="295"/>
      <c r="G210" s="294"/>
      <c r="H210" s="295"/>
      <c r="I210" s="294"/>
      <c r="J210" s="295"/>
      <c r="K210"/>
      <c r="M210"/>
    </row>
    <row r="211" spans="3:13" ht="12.75">
      <c r="C211" s="294"/>
      <c r="D211" s="295"/>
      <c r="E211" s="294"/>
      <c r="F211" s="295"/>
      <c r="G211" s="294"/>
      <c r="H211" s="295"/>
      <c r="I211" s="294"/>
      <c r="J211" s="295"/>
      <c r="K211"/>
      <c r="M211"/>
    </row>
    <row r="212" spans="3:13" ht="12.75">
      <c r="C212" s="294"/>
      <c r="D212" s="295"/>
      <c r="E212" s="294"/>
      <c r="F212" s="295"/>
      <c r="G212" s="294"/>
      <c r="H212" s="295"/>
      <c r="I212" s="294"/>
      <c r="J212" s="295"/>
      <c r="K212"/>
      <c r="M212"/>
    </row>
    <row r="213" spans="3:13" ht="12.75">
      <c r="C213" s="294"/>
      <c r="D213" s="295"/>
      <c r="E213" s="294"/>
      <c r="F213" s="295"/>
      <c r="G213" s="294"/>
      <c r="H213" s="295"/>
      <c r="I213" s="294"/>
      <c r="J213" s="295"/>
      <c r="K213"/>
      <c r="M213"/>
    </row>
    <row r="214" spans="3:13" ht="12.75">
      <c r="C214" s="294"/>
      <c r="D214" s="295"/>
      <c r="E214" s="294"/>
      <c r="F214" s="295"/>
      <c r="G214" s="294"/>
      <c r="H214" s="295"/>
      <c r="I214" s="294"/>
      <c r="J214" s="295"/>
      <c r="K214"/>
      <c r="M214"/>
    </row>
    <row r="215" spans="3:13" ht="12.75">
      <c r="C215" s="294"/>
      <c r="D215" s="295"/>
      <c r="E215" s="294"/>
      <c r="F215" s="295"/>
      <c r="G215" s="294"/>
      <c r="H215" s="295"/>
      <c r="I215" s="294"/>
      <c r="J215" s="295"/>
      <c r="K215"/>
      <c r="M215"/>
    </row>
    <row r="216" spans="3:13" ht="12.75">
      <c r="C216" s="294"/>
      <c r="D216" s="295"/>
      <c r="E216" s="294"/>
      <c r="F216" s="295"/>
      <c r="G216" s="294"/>
      <c r="H216" s="295"/>
      <c r="I216" s="294"/>
      <c r="J216" s="295"/>
      <c r="K216"/>
      <c r="M216"/>
    </row>
    <row r="217" spans="3:13" ht="12.75">
      <c r="C217" s="294"/>
      <c r="D217" s="295"/>
      <c r="E217" s="294"/>
      <c r="F217" s="295"/>
      <c r="G217" s="294"/>
      <c r="H217" s="295"/>
      <c r="I217" s="294"/>
      <c r="J217" s="295"/>
      <c r="K217"/>
      <c r="M217"/>
    </row>
    <row r="218" spans="3:13" ht="12.75">
      <c r="C218" s="294"/>
      <c r="D218" s="295"/>
      <c r="E218" s="294"/>
      <c r="F218" s="295"/>
      <c r="G218" s="294"/>
      <c r="H218" s="295"/>
      <c r="I218" s="294"/>
      <c r="J218" s="295"/>
      <c r="K218"/>
      <c r="M218"/>
    </row>
    <row r="219" spans="3:13" ht="12.75">
      <c r="C219" s="294"/>
      <c r="D219" s="295"/>
      <c r="E219" s="294"/>
      <c r="F219" s="295"/>
      <c r="G219" s="294"/>
      <c r="H219" s="295"/>
      <c r="I219" s="294"/>
      <c r="J219" s="295"/>
      <c r="K219"/>
      <c r="M219"/>
    </row>
    <row r="220" spans="3:13" ht="12.75">
      <c r="C220" s="294"/>
      <c r="D220" s="295"/>
      <c r="E220" s="294"/>
      <c r="F220" s="295"/>
      <c r="G220" s="294"/>
      <c r="H220" s="295"/>
      <c r="I220" s="294"/>
      <c r="J220" s="295"/>
      <c r="K220"/>
      <c r="M220"/>
    </row>
    <row r="221" spans="3:13" ht="12.75">
      <c r="C221" s="294"/>
      <c r="D221" s="295"/>
      <c r="E221" s="294"/>
      <c r="F221" s="295"/>
      <c r="G221" s="294"/>
      <c r="H221" s="295"/>
      <c r="I221" s="294"/>
      <c r="J221" s="295"/>
      <c r="K221"/>
      <c r="M221"/>
    </row>
    <row r="222" spans="3:13" ht="12.75">
      <c r="C222" s="294"/>
      <c r="D222" s="295"/>
      <c r="E222" s="294"/>
      <c r="F222" s="295"/>
      <c r="G222" s="294"/>
      <c r="H222" s="295"/>
      <c r="I222" s="294"/>
      <c r="J222" s="295"/>
      <c r="K222"/>
      <c r="M222"/>
    </row>
    <row r="223" spans="3:13" ht="12.75">
      <c r="C223" s="294"/>
      <c r="D223" s="295"/>
      <c r="E223" s="294"/>
      <c r="F223" s="295"/>
      <c r="G223" s="294"/>
      <c r="H223" s="295"/>
      <c r="I223" s="294"/>
      <c r="J223" s="295"/>
      <c r="K223"/>
      <c r="M223"/>
    </row>
    <row r="224" spans="3:13" ht="12.75">
      <c r="C224" s="294"/>
      <c r="D224" s="295"/>
      <c r="E224" s="294"/>
      <c r="F224" s="295"/>
      <c r="G224" s="294"/>
      <c r="H224" s="295"/>
      <c r="I224" s="294"/>
      <c r="J224" s="295"/>
      <c r="K224"/>
      <c r="M224"/>
    </row>
    <row r="225" spans="3:13" ht="12.75">
      <c r="C225" s="294"/>
      <c r="D225" s="295"/>
      <c r="E225" s="294"/>
      <c r="F225" s="295"/>
      <c r="G225" s="294"/>
      <c r="H225" s="295"/>
      <c r="I225" s="294"/>
      <c r="J225" s="295"/>
      <c r="K225"/>
      <c r="M225"/>
    </row>
    <row r="226" spans="3:13" ht="12.75">
      <c r="C226" s="294"/>
      <c r="D226" s="295"/>
      <c r="E226" s="294"/>
      <c r="F226" s="295"/>
      <c r="G226" s="294"/>
      <c r="H226" s="295"/>
      <c r="I226" s="294"/>
      <c r="J226" s="295"/>
      <c r="K226"/>
      <c r="M226"/>
    </row>
    <row r="227" spans="3:13" ht="12.75">
      <c r="C227" s="294"/>
      <c r="D227" s="295"/>
      <c r="E227" s="294"/>
      <c r="F227" s="295"/>
      <c r="G227" s="294"/>
      <c r="H227" s="295"/>
      <c r="I227" s="294"/>
      <c r="J227" s="295"/>
      <c r="K227"/>
      <c r="M227"/>
    </row>
    <row r="228" spans="3:13" ht="12.75">
      <c r="C228" s="294"/>
      <c r="D228" s="295"/>
      <c r="E228" s="294"/>
      <c r="F228" s="295"/>
      <c r="G228" s="294"/>
      <c r="H228" s="295"/>
      <c r="I228" s="294"/>
      <c r="J228" s="295"/>
      <c r="K228"/>
      <c r="M228"/>
    </row>
    <row r="229" spans="3:13" ht="12.75">
      <c r="C229" s="294"/>
      <c r="D229" s="295"/>
      <c r="E229" s="294"/>
      <c r="F229" s="295"/>
      <c r="G229" s="294"/>
      <c r="H229" s="295"/>
      <c r="I229" s="294"/>
      <c r="J229" s="295"/>
      <c r="K229"/>
      <c r="M229"/>
    </row>
    <row r="230" spans="3:13" ht="12.75">
      <c r="C230" s="294"/>
      <c r="D230" s="295"/>
      <c r="E230" s="294"/>
      <c r="F230" s="295"/>
      <c r="G230" s="294"/>
      <c r="H230" s="295"/>
      <c r="I230" s="294"/>
      <c r="J230" s="295"/>
      <c r="K230"/>
      <c r="M230"/>
    </row>
    <row r="231" spans="3:13" ht="12.75">
      <c r="C231" s="294"/>
      <c r="D231" s="295"/>
      <c r="E231" s="294"/>
      <c r="F231" s="295"/>
      <c r="G231" s="294"/>
      <c r="H231" s="295"/>
      <c r="I231" s="294"/>
      <c r="J231" s="295"/>
      <c r="K231"/>
      <c r="M231"/>
    </row>
    <row r="232" spans="3:13" ht="12.75">
      <c r="C232" s="294"/>
      <c r="D232" s="295"/>
      <c r="E232" s="294"/>
      <c r="F232" s="295"/>
      <c r="G232" s="294"/>
      <c r="H232" s="295"/>
      <c r="I232" s="294"/>
      <c r="J232" s="295"/>
      <c r="K232"/>
      <c r="M232"/>
    </row>
    <row r="233" spans="3:13" ht="12.75">
      <c r="C233" s="294"/>
      <c r="D233" s="295"/>
      <c r="E233" s="294"/>
      <c r="F233" s="295"/>
      <c r="G233" s="294"/>
      <c r="H233" s="295"/>
      <c r="I233" s="294"/>
      <c r="J233" s="295"/>
      <c r="K233"/>
      <c r="M233"/>
    </row>
    <row r="234" spans="3:13" ht="12.75">
      <c r="C234" s="294"/>
      <c r="D234" s="295"/>
      <c r="E234" s="294"/>
      <c r="F234" s="295"/>
      <c r="G234" s="294"/>
      <c r="H234" s="295"/>
      <c r="I234" s="294"/>
      <c r="J234" s="295"/>
      <c r="K234"/>
      <c r="M234"/>
    </row>
    <row r="235" spans="3:13" ht="12.75">
      <c r="C235" s="294"/>
      <c r="D235" s="295"/>
      <c r="E235" s="294"/>
      <c r="F235" s="295"/>
      <c r="G235" s="294"/>
      <c r="H235" s="295"/>
      <c r="I235" s="294"/>
      <c r="J235" s="295"/>
      <c r="K235"/>
      <c r="M235"/>
    </row>
    <row r="236" spans="3:13" ht="12.75">
      <c r="C236" s="294"/>
      <c r="D236" s="295"/>
      <c r="E236" s="294"/>
      <c r="F236" s="295"/>
      <c r="G236" s="294"/>
      <c r="H236" s="295"/>
      <c r="I236" s="294"/>
      <c r="J236" s="295"/>
      <c r="K236"/>
      <c r="M236"/>
    </row>
    <row r="237" spans="3:13" ht="12.75">
      <c r="C237" s="294"/>
      <c r="D237" s="295"/>
      <c r="E237" s="294"/>
      <c r="F237" s="295"/>
      <c r="G237" s="294"/>
      <c r="H237" s="295"/>
      <c r="I237" s="294"/>
      <c r="J237" s="295"/>
      <c r="K237"/>
      <c r="M237"/>
    </row>
    <row r="238" spans="3:13" ht="12.75">
      <c r="C238" s="294"/>
      <c r="D238" s="295"/>
      <c r="E238" s="294"/>
      <c r="F238" s="295"/>
      <c r="G238" s="294"/>
      <c r="H238" s="295"/>
      <c r="I238" s="294"/>
      <c r="J238" s="295"/>
      <c r="K238"/>
      <c r="M238"/>
    </row>
    <row r="239" spans="3:13" ht="12.75">
      <c r="C239" s="294"/>
      <c r="D239" s="295"/>
      <c r="E239" s="294"/>
      <c r="F239" s="295"/>
      <c r="G239" s="294"/>
      <c r="H239" s="295"/>
      <c r="I239" s="294"/>
      <c r="J239" s="295"/>
      <c r="K239"/>
      <c r="M239"/>
    </row>
    <row r="240" spans="3:13" ht="12.75">
      <c r="C240" s="294"/>
      <c r="D240" s="295"/>
      <c r="E240" s="294"/>
      <c r="F240" s="295"/>
      <c r="G240" s="294"/>
      <c r="H240" s="295"/>
      <c r="I240" s="294"/>
      <c r="J240" s="295"/>
      <c r="K240"/>
      <c r="M240"/>
    </row>
    <row r="241" spans="3:13" ht="12.75">
      <c r="C241" s="294"/>
      <c r="D241" s="295"/>
      <c r="E241" s="294"/>
      <c r="F241" s="295"/>
      <c r="G241" s="294"/>
      <c r="H241" s="295"/>
      <c r="I241" s="294"/>
      <c r="J241" s="295"/>
      <c r="K241"/>
      <c r="M241"/>
    </row>
    <row r="242" spans="3:13" ht="12.75">
      <c r="C242" s="294"/>
      <c r="D242" s="295"/>
      <c r="E242" s="294"/>
      <c r="F242" s="295"/>
      <c r="G242" s="294"/>
      <c r="H242" s="295"/>
      <c r="I242" s="294"/>
      <c r="J242" s="295"/>
      <c r="K242"/>
      <c r="M242"/>
    </row>
    <row r="243" spans="3:13" ht="12.75">
      <c r="C243" s="294"/>
      <c r="D243" s="295"/>
      <c r="E243" s="294"/>
      <c r="F243" s="295"/>
      <c r="G243" s="294"/>
      <c r="H243" s="295"/>
      <c r="I243" s="294"/>
      <c r="J243" s="295"/>
      <c r="K243"/>
      <c r="M243"/>
    </row>
    <row r="244" spans="3:13" ht="12.75">
      <c r="C244" s="294"/>
      <c r="D244" s="295"/>
      <c r="E244" s="294"/>
      <c r="F244" s="295"/>
      <c r="G244" s="294"/>
      <c r="H244" s="295"/>
      <c r="I244" s="294"/>
      <c r="J244" s="295"/>
      <c r="K244"/>
      <c r="M244"/>
    </row>
    <row r="245" spans="3:13" ht="12.75">
      <c r="C245" s="294"/>
      <c r="D245" s="295"/>
      <c r="E245" s="294"/>
      <c r="F245" s="295"/>
      <c r="G245" s="294"/>
      <c r="H245" s="295"/>
      <c r="I245" s="294"/>
      <c r="J245" s="295"/>
      <c r="K245"/>
      <c r="M245"/>
    </row>
    <row r="246" spans="3:13" ht="12.75">
      <c r="C246" s="294"/>
      <c r="D246" s="295"/>
      <c r="E246" s="294"/>
      <c r="F246" s="295"/>
      <c r="G246" s="294"/>
      <c r="H246" s="295"/>
      <c r="I246" s="294"/>
      <c r="J246" s="295"/>
      <c r="K246"/>
      <c r="M246"/>
    </row>
    <row r="247" spans="3:13" ht="12.75">
      <c r="C247" s="294"/>
      <c r="D247" s="295"/>
      <c r="E247" s="294"/>
      <c r="F247" s="295"/>
      <c r="G247" s="294"/>
      <c r="H247" s="295"/>
      <c r="I247" s="294"/>
      <c r="J247" s="295"/>
      <c r="K247"/>
      <c r="M247"/>
    </row>
    <row r="248" spans="3:13" ht="12.75">
      <c r="C248" s="294"/>
      <c r="D248" s="295"/>
      <c r="E248" s="294"/>
      <c r="F248" s="295"/>
      <c r="G248" s="294"/>
      <c r="H248" s="295"/>
      <c r="I248" s="294"/>
      <c r="J248" s="295"/>
      <c r="K248"/>
      <c r="M248"/>
    </row>
  </sheetData>
  <mergeCells count="2">
    <mergeCell ref="G36:I36"/>
    <mergeCell ref="G3:I3"/>
  </mergeCells>
  <printOptions horizontalCentered="1"/>
  <pageMargins left="0.35433070866141736" right="0.35433070866141736" top="0.3937007874015748" bottom="0.5905511811023623" header="0.35433070866141736" footer="0.3937007874015748"/>
  <pageSetup horizontalDpi="600" verticalDpi="600" orientation="portrait" paperSize="9" scale="85" r:id="rId3"/>
  <headerFooter alignWithMargins="0">
    <oddFooter>&amp;R&amp;P/&amp;N</oddFooter>
  </headerFooter>
  <rowBreaks count="1" manualBreakCount="1">
    <brk id="32" max="17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18"/>
  <sheetViews>
    <sheetView workbookViewId="0" topLeftCell="C1">
      <pane xSplit="2955" topLeftCell="A3" activePane="topRight" state="split"/>
      <selection pane="topLeft" activeCell="B11" sqref="B11:B14"/>
      <selection pane="topRight" activeCell="O12" sqref="O12"/>
    </sheetView>
  </sheetViews>
  <sheetFormatPr defaultColWidth="9.140625" defaultRowHeight="12.75"/>
  <cols>
    <col min="1" max="1" width="3.140625" style="0" customWidth="1"/>
    <col min="2" max="2" width="33.00390625" style="0" customWidth="1"/>
    <col min="3" max="3" width="1.28515625" style="0" customWidth="1"/>
    <col min="4" max="4" width="9.421875" style="0" customWidth="1"/>
    <col min="5" max="5" width="10.8515625" style="33" customWidth="1"/>
    <col min="6" max="6" width="1.57421875" style="0" customWidth="1"/>
    <col min="7" max="7" width="11.28125" style="0" hidden="1" customWidth="1"/>
    <col min="8" max="8" width="16.00390625" style="33" customWidth="1"/>
    <col min="9" max="9" width="1.1484375" style="433" customWidth="1"/>
    <col min="10" max="10" width="7.7109375" style="0" hidden="1" customWidth="1"/>
    <col min="11" max="11" width="9.140625" style="33" customWidth="1"/>
    <col min="12" max="12" width="12.421875" style="434" customWidth="1"/>
    <col min="13" max="13" width="15.8515625" style="435" customWidth="1"/>
    <col min="14" max="15" width="12.140625" style="33" customWidth="1"/>
    <col min="16" max="16" width="18.28125" style="0" customWidth="1"/>
    <col min="17" max="17" width="15.421875" style="0" customWidth="1"/>
    <col min="18" max="18" width="11.7109375" style="0" customWidth="1"/>
    <col min="19" max="19" width="13.57421875" style="0" customWidth="1"/>
    <col min="20" max="20" width="23.00390625" style="33" customWidth="1"/>
    <col min="21" max="21" width="14.28125" style="0" customWidth="1"/>
    <col min="22" max="22" width="17.57421875" style="0" customWidth="1"/>
    <col min="23" max="23" width="9.28125" style="0" customWidth="1"/>
    <col min="24" max="24" width="14.7109375" style="0" customWidth="1"/>
    <col min="25" max="25" width="9.28125" style="0" customWidth="1"/>
    <col min="26" max="26" width="15.7109375" style="0" customWidth="1"/>
    <col min="27" max="27" width="13.421875" style="0" customWidth="1"/>
    <col min="28" max="28" width="5.7109375" style="0" customWidth="1"/>
    <col min="29" max="29" width="9.140625" style="33" customWidth="1"/>
  </cols>
  <sheetData>
    <row r="2" spans="3:30" ht="12.75">
      <c r="C2" s="619" t="s">
        <v>416</v>
      </c>
      <c r="D2" s="619"/>
      <c r="E2" s="619"/>
      <c r="F2" s="619" t="s">
        <v>417</v>
      </c>
      <c r="G2" s="619"/>
      <c r="H2" s="619"/>
      <c r="I2" s="619" t="s">
        <v>418</v>
      </c>
      <c r="J2" s="619"/>
      <c r="K2" s="619"/>
      <c r="L2" s="620" t="s">
        <v>419</v>
      </c>
      <c r="M2" s="620"/>
      <c r="N2" s="620"/>
      <c r="O2" s="257" t="s">
        <v>420</v>
      </c>
      <c r="P2" t="s">
        <v>421</v>
      </c>
      <c r="Q2" t="s">
        <v>422</v>
      </c>
      <c r="R2" t="s">
        <v>423</v>
      </c>
      <c r="S2" t="s">
        <v>424</v>
      </c>
      <c r="T2" s="33" t="s">
        <v>425</v>
      </c>
      <c r="U2" t="s">
        <v>426</v>
      </c>
      <c r="V2" t="s">
        <v>427</v>
      </c>
      <c r="W2" t="s">
        <v>428</v>
      </c>
      <c r="X2" t="s">
        <v>429</v>
      </c>
      <c r="Y2" t="s">
        <v>430</v>
      </c>
      <c r="Z2" t="s">
        <v>431</v>
      </c>
      <c r="AA2" t="s">
        <v>432</v>
      </c>
      <c r="AB2" t="s">
        <v>433</v>
      </c>
      <c r="AC2" s="33" t="s">
        <v>434</v>
      </c>
      <c r="AD2" t="s">
        <v>435</v>
      </c>
    </row>
    <row r="3" spans="1:29" ht="12.75">
      <c r="A3" t="s">
        <v>436</v>
      </c>
      <c r="P3" s="436"/>
      <c r="Q3" s="436"/>
      <c r="R3" s="436"/>
      <c r="S3" s="436"/>
      <c r="T3" s="437"/>
      <c r="U3" s="436"/>
      <c r="V3" s="436"/>
      <c r="W3" s="436"/>
      <c r="X3" s="436"/>
      <c r="Y3" s="436"/>
      <c r="Z3" s="436"/>
      <c r="AA3" s="436"/>
      <c r="AB3" s="436"/>
      <c r="AC3" s="437"/>
    </row>
    <row r="4" spans="2:29" ht="12.75">
      <c r="B4" t="s">
        <v>437</v>
      </c>
      <c r="C4" s="433">
        <f aca="true" t="shared" si="0" ref="C4:C9">50/6/100</f>
        <v>0.08333333333333334</v>
      </c>
      <c r="D4" s="244">
        <v>250</v>
      </c>
      <c r="E4" s="438">
        <f aca="true" t="shared" si="1" ref="E4:E9">D4*C4</f>
        <v>20.833333333333336</v>
      </c>
      <c r="F4" s="433">
        <f aca="true" t="shared" si="2" ref="F4:F9">50/6/100</f>
        <v>0.08333333333333334</v>
      </c>
      <c r="G4">
        <v>288000</v>
      </c>
      <c r="H4" s="33">
        <v>10.25</v>
      </c>
      <c r="O4" s="438">
        <f aca="true" t="shared" si="3" ref="O4:O15">N4+K4+H4+E4</f>
        <v>31.083333333333336</v>
      </c>
      <c r="P4" s="436"/>
      <c r="Q4" s="436"/>
      <c r="R4" s="436"/>
      <c r="S4" s="436"/>
      <c r="T4" s="437"/>
      <c r="U4" s="436"/>
      <c r="V4" s="436"/>
      <c r="W4" s="436"/>
      <c r="X4" s="436"/>
      <c r="Y4" s="436"/>
      <c r="Z4" s="436"/>
      <c r="AA4" s="436"/>
      <c r="AB4" s="436"/>
      <c r="AC4" s="437"/>
    </row>
    <row r="5" spans="2:29" ht="12.75">
      <c r="B5" t="s">
        <v>6</v>
      </c>
      <c r="C5" s="433">
        <f t="shared" si="0"/>
        <v>0.08333333333333334</v>
      </c>
      <c r="D5" s="244">
        <v>250</v>
      </c>
      <c r="E5" s="438">
        <f t="shared" si="1"/>
        <v>20.833333333333336</v>
      </c>
      <c r="F5" s="433">
        <f t="shared" si="2"/>
        <v>0.08333333333333334</v>
      </c>
      <c r="G5">
        <v>288000</v>
      </c>
      <c r="H5" s="33">
        <v>10.25</v>
      </c>
      <c r="O5" s="438">
        <f t="shared" si="3"/>
        <v>31.083333333333336</v>
      </c>
      <c r="P5" s="436"/>
      <c r="Q5" s="436"/>
      <c r="R5" s="436"/>
      <c r="S5" s="436"/>
      <c r="T5" s="437"/>
      <c r="U5" s="436"/>
      <c r="V5" s="436"/>
      <c r="W5" s="436"/>
      <c r="X5" s="436"/>
      <c r="Y5" s="436"/>
      <c r="Z5" s="436"/>
      <c r="AA5" s="436"/>
      <c r="AB5" s="436"/>
      <c r="AC5" s="437"/>
    </row>
    <row r="6" spans="2:29" ht="12.75">
      <c r="B6" t="s">
        <v>438</v>
      </c>
      <c r="C6" s="433">
        <f t="shared" si="0"/>
        <v>0.08333333333333334</v>
      </c>
      <c r="D6" s="244">
        <v>250</v>
      </c>
      <c r="E6" s="438">
        <f t="shared" si="1"/>
        <v>20.833333333333336</v>
      </c>
      <c r="F6" s="433">
        <f t="shared" si="2"/>
        <v>0.08333333333333334</v>
      </c>
      <c r="G6">
        <v>288000</v>
      </c>
      <c r="H6" s="33">
        <v>10.25</v>
      </c>
      <c r="O6" s="438">
        <f t="shared" si="3"/>
        <v>31.083333333333336</v>
      </c>
      <c r="P6" s="436"/>
      <c r="Q6" s="436"/>
      <c r="R6" s="436"/>
      <c r="S6" s="436"/>
      <c r="T6" s="437"/>
      <c r="U6" s="436"/>
      <c r="V6" s="436"/>
      <c r="W6" s="436"/>
      <c r="X6" s="436"/>
      <c r="Y6" s="436"/>
      <c r="Z6" s="436"/>
      <c r="AA6" s="436"/>
      <c r="AB6" s="436"/>
      <c r="AC6" s="437"/>
    </row>
    <row r="7" spans="2:29" ht="12.75">
      <c r="B7" t="s">
        <v>439</v>
      </c>
      <c r="C7" s="433">
        <f t="shared" si="0"/>
        <v>0.08333333333333334</v>
      </c>
      <c r="D7" s="244">
        <v>250</v>
      </c>
      <c r="E7" s="438">
        <f t="shared" si="1"/>
        <v>20.833333333333336</v>
      </c>
      <c r="F7" s="433">
        <f t="shared" si="2"/>
        <v>0.08333333333333334</v>
      </c>
      <c r="G7">
        <v>288000</v>
      </c>
      <c r="H7" s="33">
        <v>10.25</v>
      </c>
      <c r="O7" s="438">
        <f t="shared" si="3"/>
        <v>31.083333333333336</v>
      </c>
      <c r="P7" s="436"/>
      <c r="Q7" s="436"/>
      <c r="R7" s="436"/>
      <c r="S7" s="436"/>
      <c r="T7" s="437"/>
      <c r="U7" s="436"/>
      <c r="V7" s="436"/>
      <c r="W7" s="436"/>
      <c r="X7" s="436"/>
      <c r="Y7" s="436"/>
      <c r="Z7" s="436"/>
      <c r="AA7" s="436"/>
      <c r="AB7" s="436"/>
      <c r="AC7" s="437"/>
    </row>
    <row r="8" spans="2:29" ht="12.75">
      <c r="B8" t="s">
        <v>8</v>
      </c>
      <c r="C8" s="433">
        <f t="shared" si="0"/>
        <v>0.08333333333333334</v>
      </c>
      <c r="D8" s="244">
        <v>250</v>
      </c>
      <c r="E8" s="438">
        <f t="shared" si="1"/>
        <v>20.833333333333336</v>
      </c>
      <c r="F8" s="433">
        <f t="shared" si="2"/>
        <v>0.08333333333333334</v>
      </c>
      <c r="G8">
        <v>288000</v>
      </c>
      <c r="H8" s="33">
        <v>10.25</v>
      </c>
      <c r="O8" s="438">
        <f t="shared" si="3"/>
        <v>31.083333333333336</v>
      </c>
      <c r="P8" s="436"/>
      <c r="Q8" s="436"/>
      <c r="R8" s="436"/>
      <c r="S8" s="436"/>
      <c r="T8" s="437"/>
      <c r="U8" s="436"/>
      <c r="V8" s="436"/>
      <c r="W8" s="436"/>
      <c r="X8" s="436"/>
      <c r="Y8" s="436"/>
      <c r="Z8" s="436"/>
      <c r="AA8" s="436"/>
      <c r="AB8" s="436"/>
      <c r="AC8" s="437"/>
    </row>
    <row r="9" spans="2:29" ht="12.75">
      <c r="B9" t="s">
        <v>24</v>
      </c>
      <c r="C9" s="433">
        <f t="shared" si="0"/>
        <v>0.08333333333333334</v>
      </c>
      <c r="D9" s="244">
        <v>250</v>
      </c>
      <c r="E9" s="438">
        <f t="shared" si="1"/>
        <v>20.833333333333336</v>
      </c>
      <c r="F9" s="433">
        <f t="shared" si="2"/>
        <v>0.08333333333333334</v>
      </c>
      <c r="G9">
        <v>288000</v>
      </c>
      <c r="H9" s="33">
        <v>10.25</v>
      </c>
      <c r="I9" s="433">
        <f>50/100</f>
        <v>0.5</v>
      </c>
      <c r="J9">
        <v>140000</v>
      </c>
      <c r="O9" s="438">
        <f t="shared" si="3"/>
        <v>31.083333333333336</v>
      </c>
      <c r="P9" s="436"/>
      <c r="Q9" s="436"/>
      <c r="R9" s="436"/>
      <c r="S9" s="436"/>
      <c r="T9" s="437"/>
      <c r="U9" s="436"/>
      <c r="V9" s="436"/>
      <c r="W9" s="436"/>
      <c r="X9" s="436"/>
      <c r="Y9" s="436"/>
      <c r="Z9" s="436"/>
      <c r="AA9" s="436"/>
      <c r="AB9" s="436"/>
      <c r="AC9" s="437"/>
    </row>
    <row r="10" spans="1:29" ht="12.75">
      <c r="A10" t="s">
        <v>440</v>
      </c>
      <c r="C10" s="433"/>
      <c r="D10" s="244">
        <v>250</v>
      </c>
      <c r="E10" s="438"/>
      <c r="O10" s="438">
        <f t="shared" si="3"/>
        <v>0</v>
      </c>
      <c r="P10" s="436"/>
      <c r="Q10" s="436"/>
      <c r="R10" s="436"/>
      <c r="S10" s="436"/>
      <c r="T10" s="437"/>
      <c r="U10" s="436"/>
      <c r="V10" s="436"/>
      <c r="W10" s="436"/>
      <c r="X10" s="436"/>
      <c r="Y10" s="436"/>
      <c r="Z10" s="436"/>
      <c r="AA10" s="436"/>
      <c r="AB10" s="436"/>
      <c r="AC10" s="437"/>
    </row>
    <row r="11" spans="2:30" ht="12.75">
      <c r="B11" t="s">
        <v>441</v>
      </c>
      <c r="C11" s="433">
        <f>50/100</f>
        <v>0.5</v>
      </c>
      <c r="D11" s="244">
        <v>250</v>
      </c>
      <c r="E11" s="438">
        <f>D11*C11</f>
        <v>125</v>
      </c>
      <c r="O11" s="438">
        <f t="shared" si="3"/>
        <v>125</v>
      </c>
      <c r="P11" s="436">
        <v>0.25</v>
      </c>
      <c r="Q11" s="436">
        <v>0.75</v>
      </c>
      <c r="R11" s="436">
        <v>0.5</v>
      </c>
      <c r="S11" s="436">
        <v>1</v>
      </c>
      <c r="T11" s="437">
        <f>SUM(P11:S11)</f>
        <v>2.5</v>
      </c>
      <c r="U11" s="436"/>
      <c r="V11" s="436"/>
      <c r="W11" s="436"/>
      <c r="X11" s="436"/>
      <c r="Y11" s="436">
        <v>1</v>
      </c>
      <c r="Z11" s="436"/>
      <c r="AA11" s="436"/>
      <c r="AB11" s="436">
        <v>0.25</v>
      </c>
      <c r="AC11" s="437">
        <f>SUM(U11:AB11)</f>
        <v>1.25</v>
      </c>
      <c r="AD11" s="436">
        <f>AC11+T11</f>
        <v>3.75</v>
      </c>
    </row>
    <row r="12" spans="2:30" ht="12.75">
      <c r="B12" t="s">
        <v>442</v>
      </c>
      <c r="C12" s="433"/>
      <c r="D12" s="244"/>
      <c r="E12" s="438"/>
      <c r="F12" s="433">
        <f>50/100</f>
        <v>0.5</v>
      </c>
      <c r="G12">
        <v>288000</v>
      </c>
      <c r="H12" s="33">
        <v>61.5</v>
      </c>
      <c r="I12" s="433">
        <f>50/100</f>
        <v>0.5</v>
      </c>
      <c r="J12">
        <v>140000</v>
      </c>
      <c r="K12" s="33">
        <v>60</v>
      </c>
      <c r="L12" s="434">
        <v>0.8</v>
      </c>
      <c r="M12" s="435">
        <v>217</v>
      </c>
      <c r="N12" s="33">
        <f>M12*L12</f>
        <v>173.60000000000002</v>
      </c>
      <c r="O12" s="438">
        <f t="shared" si="3"/>
        <v>295.1</v>
      </c>
      <c r="P12" s="436">
        <v>0.5</v>
      </c>
      <c r="Q12" s="436">
        <v>0.25</v>
      </c>
      <c r="R12" s="436"/>
      <c r="S12" s="436"/>
      <c r="T12" s="437">
        <f>SUM(P12:S12)</f>
        <v>0.75</v>
      </c>
      <c r="U12" s="436">
        <v>1</v>
      </c>
      <c r="V12" s="436"/>
      <c r="W12" s="436"/>
      <c r="X12" s="436"/>
      <c r="Y12" s="436"/>
      <c r="Z12" s="436">
        <v>1</v>
      </c>
      <c r="AA12" s="436">
        <v>1</v>
      </c>
      <c r="AB12" s="436">
        <v>0.75</v>
      </c>
      <c r="AC12" s="437">
        <f>SUM(U12:AB12)</f>
        <v>3.75</v>
      </c>
      <c r="AD12" s="436">
        <f>AC12+T12</f>
        <v>4.5</v>
      </c>
    </row>
    <row r="13" spans="2:30" ht="12.75">
      <c r="B13" t="s">
        <v>443</v>
      </c>
      <c r="C13" s="433"/>
      <c r="D13" s="244"/>
      <c r="E13" s="438"/>
      <c r="L13" s="434">
        <v>0.1</v>
      </c>
      <c r="M13" s="435">
        <v>217</v>
      </c>
      <c r="N13" s="33">
        <f>M13*L13</f>
        <v>21.700000000000003</v>
      </c>
      <c r="O13" s="438">
        <f t="shared" si="3"/>
        <v>21.700000000000003</v>
      </c>
      <c r="P13" s="436">
        <v>0.25</v>
      </c>
      <c r="Q13" s="436"/>
      <c r="R13" s="436"/>
      <c r="S13" s="436"/>
      <c r="T13" s="437">
        <f>SUM(P13:S13)</f>
        <v>0.25</v>
      </c>
      <c r="U13" s="436"/>
      <c r="V13" s="436">
        <v>1</v>
      </c>
      <c r="W13" s="436">
        <v>1</v>
      </c>
      <c r="X13" s="436">
        <v>1</v>
      </c>
      <c r="Y13" s="436"/>
      <c r="Z13" s="436"/>
      <c r="AA13" s="436"/>
      <c r="AB13" s="436"/>
      <c r="AC13" s="437">
        <f>SUM(U13:AB13)</f>
        <v>3</v>
      </c>
      <c r="AD13" s="436">
        <f>AC13+T13</f>
        <v>3.25</v>
      </c>
    </row>
    <row r="14" spans="2:30" ht="12.75">
      <c r="B14" t="s">
        <v>66</v>
      </c>
      <c r="L14" s="434">
        <v>0.1</v>
      </c>
      <c r="M14" s="435">
        <v>217</v>
      </c>
      <c r="N14" s="33">
        <f>M14*L14</f>
        <v>21.700000000000003</v>
      </c>
      <c r="O14" s="438">
        <f t="shared" si="3"/>
        <v>21.700000000000003</v>
      </c>
      <c r="P14" s="436"/>
      <c r="Q14" s="436"/>
      <c r="R14" s="436">
        <v>0.5</v>
      </c>
      <c r="S14" s="436"/>
      <c r="T14" s="437">
        <f>SUM(P14:S14)</f>
        <v>0.5</v>
      </c>
      <c r="U14" s="436"/>
      <c r="V14" s="436"/>
      <c r="W14" s="436"/>
      <c r="X14" s="436"/>
      <c r="Y14" s="436"/>
      <c r="Z14" s="436"/>
      <c r="AA14" s="436"/>
      <c r="AB14" s="436"/>
      <c r="AC14" s="437">
        <f>SUM(U14:AB14)</f>
        <v>0</v>
      </c>
      <c r="AD14" s="436">
        <f>AC14+T14</f>
        <v>0.5</v>
      </c>
    </row>
    <row r="15" spans="5:30" ht="12.75">
      <c r="E15" s="438">
        <f>SUM(E4:E14)</f>
        <v>250.00000000000003</v>
      </c>
      <c r="F15" s="438"/>
      <c r="G15" s="438"/>
      <c r="H15" s="438">
        <f>SUM(H4:H14)</f>
        <v>123</v>
      </c>
      <c r="I15" s="438"/>
      <c r="J15" s="438"/>
      <c r="K15" s="438">
        <f>SUM(K4:K14)</f>
        <v>60</v>
      </c>
      <c r="M15" s="439"/>
      <c r="N15" s="438">
        <f>SUM(N12:N14)</f>
        <v>217</v>
      </c>
      <c r="O15" s="438">
        <f t="shared" si="3"/>
        <v>650</v>
      </c>
      <c r="P15" s="436"/>
      <c r="Q15" s="436"/>
      <c r="R15" s="436"/>
      <c r="S15" s="436"/>
      <c r="T15" s="437"/>
      <c r="U15" s="436"/>
      <c r="V15" s="436"/>
      <c r="W15" s="436"/>
      <c r="X15" s="436"/>
      <c r="Y15" s="436"/>
      <c r="Z15" s="436"/>
      <c r="AA15" s="436"/>
      <c r="AB15" s="436"/>
      <c r="AC15" s="437"/>
      <c r="AD15" s="436">
        <f>SUM(AD11:AD14)</f>
        <v>12</v>
      </c>
    </row>
    <row r="16" spans="16:29" ht="12.75">
      <c r="P16" s="436"/>
      <c r="Q16" s="436"/>
      <c r="R16" s="436"/>
      <c r="S16" s="436"/>
      <c r="T16" s="437"/>
      <c r="U16" s="436"/>
      <c r="V16" s="436"/>
      <c r="W16" s="436"/>
      <c r="X16" s="436"/>
      <c r="Y16" s="436"/>
      <c r="Z16" s="436"/>
      <c r="AA16" s="436"/>
      <c r="AB16" s="436"/>
      <c r="AC16" s="437"/>
    </row>
    <row r="17" spans="16:29" ht="12.75">
      <c r="P17" s="436"/>
      <c r="Q17" s="436"/>
      <c r="R17" s="436"/>
      <c r="S17" s="436"/>
      <c r="T17" s="437"/>
      <c r="U17" s="436"/>
      <c r="V17" s="436"/>
      <c r="W17" s="436"/>
      <c r="X17" s="436"/>
      <c r="Y17" s="436"/>
      <c r="Z17" s="436"/>
      <c r="AA17" s="436"/>
      <c r="AB17" s="436"/>
      <c r="AC17" s="437"/>
    </row>
    <row r="18" ht="12.75">
      <c r="AC18" s="437">
        <f>SUM(AC11:AC17)</f>
        <v>8</v>
      </c>
    </row>
  </sheetData>
  <mergeCells count="4"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workbookViewId="0" topLeftCell="A2">
      <pane xSplit="4170" ySplit="2430" topLeftCell="R39" activePane="bottomRight" state="split"/>
      <selection pane="topLeft" activeCell="A2" sqref="A1:A16384"/>
      <selection pane="topRight" activeCell="A2" sqref="A1:X16384"/>
      <selection pane="bottomLeft" activeCell="D42" sqref="D42"/>
      <selection pane="bottomRight" activeCell="R44" sqref="R44"/>
    </sheetView>
  </sheetViews>
  <sheetFormatPr defaultColWidth="9.140625" defaultRowHeight="12.75" outlineLevelCol="1"/>
  <cols>
    <col min="1" max="1" width="3.421875" style="41" customWidth="1"/>
    <col min="2" max="2" width="3.28125" style="0" customWidth="1"/>
    <col min="3" max="3" width="3.8515625" style="0" customWidth="1"/>
    <col min="4" max="4" width="25.421875" style="0" customWidth="1"/>
    <col min="6" max="6" width="10.140625" style="0" customWidth="1"/>
    <col min="7" max="7" width="10.57421875" style="0" customWidth="1"/>
    <col min="9" max="13" width="9.140625" style="0" customWidth="1" outlineLevel="1"/>
    <col min="24" max="24" width="11.00390625" style="33" customWidth="1"/>
    <col min="25" max="25" width="11.57421875" style="0" hidden="1" customWidth="1"/>
  </cols>
  <sheetData>
    <row r="1" spans="1:26" s="33" customFormat="1" ht="15" customHeight="1" thickBot="1">
      <c r="A1" s="24"/>
      <c r="B1" s="25"/>
      <c r="C1" s="25"/>
      <c r="D1" s="26"/>
      <c r="E1" s="610" t="s">
        <v>467</v>
      </c>
      <c r="F1" s="611"/>
      <c r="G1" s="612"/>
      <c r="H1" s="28"/>
      <c r="I1" s="27"/>
      <c r="J1" s="27"/>
      <c r="K1" s="27"/>
      <c r="L1" s="27"/>
      <c r="M1" s="27"/>
      <c r="N1" s="29" t="s">
        <v>70</v>
      </c>
      <c r="O1" s="27"/>
      <c r="P1" s="27"/>
      <c r="Q1" s="27"/>
      <c r="R1" s="27"/>
      <c r="S1" s="27"/>
      <c r="T1" s="27"/>
      <c r="U1" s="27"/>
      <c r="V1" s="27"/>
      <c r="W1" s="27"/>
      <c r="X1" s="30"/>
      <c r="Y1" s="31"/>
      <c r="Z1" s="32"/>
    </row>
    <row r="2" spans="1:26" s="33" customFormat="1" ht="85.5" customHeight="1">
      <c r="A2" s="34" t="s">
        <v>71</v>
      </c>
      <c r="B2" s="35"/>
      <c r="C2" s="35"/>
      <c r="D2" s="35"/>
      <c r="E2" s="483" t="s">
        <v>28</v>
      </c>
      <c r="F2" s="484" t="s">
        <v>29</v>
      </c>
      <c r="G2" s="485" t="s">
        <v>31</v>
      </c>
      <c r="H2" s="426" t="s">
        <v>72</v>
      </c>
      <c r="I2" s="426" t="s">
        <v>407</v>
      </c>
      <c r="J2" s="426" t="s">
        <v>404</v>
      </c>
      <c r="K2" s="426" t="s">
        <v>66</v>
      </c>
      <c r="L2" s="426" t="s">
        <v>408</v>
      </c>
      <c r="M2" s="426" t="s">
        <v>409</v>
      </c>
      <c r="N2" s="37" t="s">
        <v>26</v>
      </c>
      <c r="O2" s="37" t="s">
        <v>27</v>
      </c>
      <c r="P2" s="37" t="s">
        <v>127</v>
      </c>
      <c r="Q2" s="38" t="s">
        <v>37</v>
      </c>
      <c r="R2" s="37" t="s">
        <v>30</v>
      </c>
      <c r="S2" s="37" t="s">
        <v>32</v>
      </c>
      <c r="T2" s="37" t="s">
        <v>33</v>
      </c>
      <c r="U2" s="37" t="s">
        <v>73</v>
      </c>
      <c r="V2" s="37" t="s">
        <v>35</v>
      </c>
      <c r="W2" s="38" t="s">
        <v>36</v>
      </c>
      <c r="X2" s="39" t="s">
        <v>74</v>
      </c>
      <c r="Y2" s="469" t="s">
        <v>411</v>
      </c>
      <c r="Z2" s="40"/>
    </row>
    <row r="3" spans="2:26" ht="12.75" customHeight="1">
      <c r="B3" s="42"/>
      <c r="C3" s="42"/>
      <c r="D3" s="42"/>
      <c r="E3" s="44"/>
      <c r="F3" s="45"/>
      <c r="G3" s="46"/>
      <c r="H3" s="478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4"/>
      <c r="X3" s="77"/>
      <c r="Y3" s="42"/>
      <c r="Z3" s="49"/>
    </row>
    <row r="4" spans="1:26" ht="12.75" customHeight="1">
      <c r="A4" s="50" t="s">
        <v>75</v>
      </c>
      <c r="B4" s="42"/>
      <c r="C4" s="42"/>
      <c r="D4" s="42"/>
      <c r="E4" s="44"/>
      <c r="F4" s="45"/>
      <c r="G4" s="46"/>
      <c r="H4" s="42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77"/>
      <c r="Y4" s="42"/>
      <c r="Z4" s="49"/>
    </row>
    <row r="5" spans="2:26" ht="12.75">
      <c r="B5" s="42" t="s">
        <v>76</v>
      </c>
      <c r="C5" s="42"/>
      <c r="D5" s="42"/>
      <c r="E5" s="116"/>
      <c r="F5" s="47"/>
      <c r="G5" s="119"/>
      <c r="H5" s="420"/>
      <c r="I5" s="47"/>
      <c r="J5" s="47"/>
      <c r="K5" s="47"/>
      <c r="L5" s="47"/>
      <c r="M5" s="47"/>
      <c r="N5" s="54"/>
      <c r="O5" s="54"/>
      <c r="P5" s="54"/>
      <c r="Q5" s="47"/>
      <c r="R5" s="47"/>
      <c r="S5" s="47"/>
      <c r="T5" s="47"/>
      <c r="U5" s="47"/>
      <c r="V5" s="47"/>
      <c r="W5" s="53"/>
      <c r="X5" s="77"/>
      <c r="Y5" s="42"/>
      <c r="Z5" s="49"/>
    </row>
    <row r="6" spans="2:26" ht="12.75">
      <c r="B6" s="42"/>
      <c r="C6" s="42" t="s">
        <v>77</v>
      </c>
      <c r="D6" s="42"/>
      <c r="E6" s="116"/>
      <c r="F6" s="47"/>
      <c r="G6" s="119"/>
      <c r="H6" s="479">
        <v>1480</v>
      </c>
      <c r="I6" s="454">
        <v>42.812336644014636</v>
      </c>
      <c r="J6" s="454">
        <v>327.6</v>
      </c>
      <c r="K6" s="454">
        <v>1579.5876633559856</v>
      </c>
      <c r="L6" s="455">
        <v>252</v>
      </c>
      <c r="M6" s="455">
        <v>504</v>
      </c>
      <c r="N6" s="454">
        <v>1950</v>
      </c>
      <c r="O6" s="454">
        <v>1336</v>
      </c>
      <c r="P6" s="454">
        <v>252</v>
      </c>
      <c r="Q6" s="454">
        <v>0</v>
      </c>
      <c r="R6" s="454">
        <v>0</v>
      </c>
      <c r="S6" s="454">
        <v>0</v>
      </c>
      <c r="T6" s="454">
        <v>0</v>
      </c>
      <c r="U6" s="454">
        <v>0</v>
      </c>
      <c r="V6" s="454">
        <v>0</v>
      </c>
      <c r="W6" s="465">
        <v>0</v>
      </c>
      <c r="X6" s="456">
        <v>5018</v>
      </c>
      <c r="Y6" s="55">
        <f>+X6+L6+M6</f>
        <v>5774</v>
      </c>
      <c r="Z6" s="49"/>
    </row>
    <row r="7" spans="2:26" ht="12.75">
      <c r="B7" s="42"/>
      <c r="C7" s="417" t="s">
        <v>460</v>
      </c>
      <c r="D7" s="42"/>
      <c r="E7" s="51">
        <v>0</v>
      </c>
      <c r="F7" s="47"/>
      <c r="G7" s="52">
        <v>0</v>
      </c>
      <c r="H7" s="480">
        <v>0</v>
      </c>
      <c r="I7" s="454">
        <v>24.568740198640878</v>
      </c>
      <c r="J7" s="454">
        <v>188</v>
      </c>
      <c r="K7" s="454">
        <v>871.8741274254085</v>
      </c>
      <c r="L7" s="454">
        <v>0</v>
      </c>
      <c r="M7" s="454">
        <v>0</v>
      </c>
      <c r="N7" s="454">
        <v>1084.4428676240493</v>
      </c>
      <c r="O7" s="454">
        <v>433.3286028721478</v>
      </c>
      <c r="P7" s="454">
        <v>100</v>
      </c>
      <c r="Q7" s="454">
        <v>0</v>
      </c>
      <c r="R7" s="454">
        <v>0</v>
      </c>
      <c r="S7" s="454">
        <v>0</v>
      </c>
      <c r="T7" s="454">
        <v>0</v>
      </c>
      <c r="U7" s="454">
        <v>0</v>
      </c>
      <c r="V7" s="454">
        <v>0</v>
      </c>
      <c r="W7" s="465">
        <v>0</v>
      </c>
      <c r="X7" s="456">
        <v>1617.7714704961973</v>
      </c>
      <c r="Y7" s="55">
        <f>+X7</f>
        <v>1617.7714704961973</v>
      </c>
      <c r="Z7" s="49"/>
    </row>
    <row r="8" spans="2:26" ht="8.25" customHeight="1">
      <c r="B8" s="42"/>
      <c r="C8" s="417"/>
      <c r="D8" s="42"/>
      <c r="E8" s="51"/>
      <c r="F8" s="47"/>
      <c r="G8" s="52"/>
      <c r="H8" s="420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53"/>
      <c r="X8" s="77"/>
      <c r="Y8" s="55"/>
      <c r="Z8" s="49"/>
    </row>
    <row r="9" spans="2:27" ht="12.75">
      <c r="B9" s="57" t="s">
        <v>410</v>
      </c>
      <c r="D9" s="42"/>
      <c r="E9" s="51">
        <v>0</v>
      </c>
      <c r="F9" s="47">
        <v>0</v>
      </c>
      <c r="G9" s="52">
        <v>0</v>
      </c>
      <c r="H9" s="420">
        <v>1480</v>
      </c>
      <c r="I9" s="47">
        <v>67.38107684265552</v>
      </c>
      <c r="J9" s="47">
        <v>515.6</v>
      </c>
      <c r="K9" s="47">
        <v>2451.461790781394</v>
      </c>
      <c r="L9" s="47">
        <v>252</v>
      </c>
      <c r="M9" s="47">
        <v>504</v>
      </c>
      <c r="N9" s="47">
        <v>3034.4428676240495</v>
      </c>
      <c r="O9" s="47">
        <v>1769.3286028721477</v>
      </c>
      <c r="P9" s="47">
        <v>352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53">
        <v>0</v>
      </c>
      <c r="X9" s="77">
        <v>6635.771470496197</v>
      </c>
      <c r="Y9" s="420">
        <f>SUM(Y6:Y7)</f>
        <v>7391.771470496197</v>
      </c>
      <c r="Z9" s="420"/>
      <c r="AA9" s="452"/>
    </row>
    <row r="10" spans="2:26" ht="12.75">
      <c r="B10" s="42" t="s">
        <v>49</v>
      </c>
      <c r="C10" s="42"/>
      <c r="D10" s="42"/>
      <c r="E10" s="51">
        <v>0</v>
      </c>
      <c r="F10" s="47">
        <v>0</v>
      </c>
      <c r="G10" s="52">
        <v>0</v>
      </c>
      <c r="H10" s="420">
        <v>160</v>
      </c>
      <c r="I10" s="47">
        <v>20.909566126502874</v>
      </c>
      <c r="J10" s="47">
        <v>160</v>
      </c>
      <c r="K10" s="47">
        <v>530.6489433201403</v>
      </c>
      <c r="L10" s="47">
        <v>29.480496851118907</v>
      </c>
      <c r="M10" s="47">
        <v>58.960993702237815</v>
      </c>
      <c r="N10" s="47">
        <v>800</v>
      </c>
      <c r="O10" s="47">
        <v>50</v>
      </c>
      <c r="P10" s="47">
        <v>80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53">
        <v>0</v>
      </c>
      <c r="X10" s="77">
        <v>1090</v>
      </c>
      <c r="Y10" s="55"/>
      <c r="Z10" s="49"/>
    </row>
    <row r="11" spans="2:26" ht="12.75">
      <c r="B11" s="57" t="s">
        <v>339</v>
      </c>
      <c r="C11" s="42"/>
      <c r="D11" s="42"/>
      <c r="E11" s="51"/>
      <c r="F11" s="47"/>
      <c r="G11" s="52"/>
      <c r="H11" s="420"/>
      <c r="I11" s="47">
        <v>11.709357030841609</v>
      </c>
      <c r="J11" s="47">
        <v>87.25812859383169</v>
      </c>
      <c r="K11" s="47">
        <v>349.03251437532674</v>
      </c>
      <c r="L11" s="47">
        <v>0</v>
      </c>
      <c r="M11" s="47">
        <v>0</v>
      </c>
      <c r="N11" s="47">
        <v>448</v>
      </c>
      <c r="O11" s="47">
        <v>0</v>
      </c>
      <c r="P11" s="47">
        <v>70</v>
      </c>
      <c r="Q11" s="47">
        <v>300</v>
      </c>
      <c r="R11" s="47">
        <v>500</v>
      </c>
      <c r="S11" s="47">
        <v>0</v>
      </c>
      <c r="T11" s="47">
        <v>0</v>
      </c>
      <c r="U11" s="47">
        <v>0</v>
      </c>
      <c r="V11" s="47">
        <v>0</v>
      </c>
      <c r="W11" s="53">
        <v>0</v>
      </c>
      <c r="X11" s="77">
        <v>1318</v>
      </c>
      <c r="Y11" s="55"/>
      <c r="Z11" s="49"/>
    </row>
    <row r="12" spans="2:26" ht="12.75">
      <c r="B12" s="42" t="s">
        <v>81</v>
      </c>
      <c r="C12" s="42"/>
      <c r="D12" s="42"/>
      <c r="E12" s="51"/>
      <c r="F12" s="47"/>
      <c r="G12" s="52"/>
      <c r="H12" s="420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210</v>
      </c>
      <c r="V12" s="47">
        <v>0</v>
      </c>
      <c r="W12" s="53">
        <v>0</v>
      </c>
      <c r="X12" s="77">
        <v>210</v>
      </c>
      <c r="Y12" s="55"/>
      <c r="Z12" s="49"/>
    </row>
    <row r="13" spans="2:26" ht="12.75">
      <c r="B13" s="42"/>
      <c r="C13" s="42"/>
      <c r="D13" s="42"/>
      <c r="E13" s="51"/>
      <c r="F13" s="47"/>
      <c r="G13" s="52"/>
      <c r="H13" s="420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53"/>
      <c r="X13" s="77"/>
      <c r="Y13" s="55"/>
      <c r="Z13" s="49"/>
    </row>
    <row r="14" spans="1:26" s="59" customFormat="1" ht="12.75">
      <c r="A14" s="58"/>
      <c r="D14" s="59" t="s">
        <v>85</v>
      </c>
      <c r="E14" s="61"/>
      <c r="F14" s="62"/>
      <c r="G14" s="457"/>
      <c r="H14" s="460">
        <v>1640</v>
      </c>
      <c r="I14" s="62">
        <v>100</v>
      </c>
      <c r="J14" s="62">
        <v>762.8581285938317</v>
      </c>
      <c r="K14" s="62">
        <v>3331.143248476861</v>
      </c>
      <c r="L14" s="62">
        <v>281.4804968511189</v>
      </c>
      <c r="M14" s="62">
        <v>562.9609937022378</v>
      </c>
      <c r="N14" s="62">
        <v>4282.4428676240495</v>
      </c>
      <c r="O14" s="62">
        <v>1819.3286028721477</v>
      </c>
      <c r="P14" s="62">
        <v>502</v>
      </c>
      <c r="Q14" s="62">
        <v>300</v>
      </c>
      <c r="R14" s="62">
        <v>500</v>
      </c>
      <c r="S14" s="62">
        <v>0</v>
      </c>
      <c r="T14" s="62">
        <v>0</v>
      </c>
      <c r="U14" s="62">
        <v>210</v>
      </c>
      <c r="V14" s="62">
        <v>0</v>
      </c>
      <c r="W14" s="63">
        <v>0</v>
      </c>
      <c r="X14" s="64">
        <v>9253.771470496198</v>
      </c>
      <c r="Y14" s="458"/>
      <c r="Z14" s="98"/>
    </row>
    <row r="15" spans="2:26" ht="12.75">
      <c r="B15" s="42"/>
      <c r="C15" s="42"/>
      <c r="D15" s="42"/>
      <c r="E15" s="51"/>
      <c r="F15" s="47"/>
      <c r="G15" s="52"/>
      <c r="H15" s="420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53"/>
      <c r="X15" s="77"/>
      <c r="Y15" s="55"/>
      <c r="Z15" s="49"/>
    </row>
    <row r="16" spans="1:26" ht="12.75">
      <c r="A16" s="477" t="s">
        <v>453</v>
      </c>
      <c r="B16" s="42"/>
      <c r="C16" s="42"/>
      <c r="D16" s="42"/>
      <c r="E16" s="51"/>
      <c r="F16" s="47"/>
      <c r="G16" s="52"/>
      <c r="H16" s="420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53"/>
      <c r="X16" s="77"/>
      <c r="Y16" s="55"/>
      <c r="Z16" s="49"/>
    </row>
    <row r="17" spans="2:26" ht="12.75">
      <c r="B17" s="417" t="s">
        <v>461</v>
      </c>
      <c r="D17" s="42"/>
      <c r="E17" s="51">
        <v>1494.662721109262</v>
      </c>
      <c r="F17" s="47">
        <v>0</v>
      </c>
      <c r="G17" s="52">
        <v>620.4959710735839</v>
      </c>
      <c r="H17" s="420">
        <v>1795.0842471495914</v>
      </c>
      <c r="I17" s="47">
        <v>208.0600031298748</v>
      </c>
      <c r="J17" s="47">
        <v>0</v>
      </c>
      <c r="K17" s="47">
        <v>59.94277846221368</v>
      </c>
      <c r="L17" s="47">
        <v>0</v>
      </c>
      <c r="M17" s="47">
        <v>0</v>
      </c>
      <c r="N17" s="47">
        <v>268.00278159208847</v>
      </c>
      <c r="O17" s="47">
        <v>166.98345428759526</v>
      </c>
      <c r="P17" s="47">
        <v>109.43974114950922</v>
      </c>
      <c r="Q17" s="47">
        <v>112.00334810079032</v>
      </c>
      <c r="R17" s="47">
        <v>939.0461344661243</v>
      </c>
      <c r="S17" s="47">
        <v>388.3148688715787</v>
      </c>
      <c r="T17" s="47">
        <v>511.0284845690227</v>
      </c>
      <c r="U17" s="47">
        <v>184.23997719662526</v>
      </c>
      <c r="V17" s="47">
        <v>291.2389209517495</v>
      </c>
      <c r="W17" s="53">
        <v>187.68787898628176</v>
      </c>
      <c r="X17" s="77">
        <v>4953.069837320957</v>
      </c>
      <c r="Y17" s="55">
        <f>+X17</f>
        <v>4953.069837320957</v>
      </c>
      <c r="Z17" s="49"/>
    </row>
    <row r="18" spans="2:26" ht="12.75">
      <c r="B18" s="42" t="s">
        <v>49</v>
      </c>
      <c r="D18" s="42"/>
      <c r="E18" s="51">
        <v>18.88362873707301</v>
      </c>
      <c r="F18" s="47">
        <v>0</v>
      </c>
      <c r="G18" s="52">
        <v>18.88362873707301</v>
      </c>
      <c r="H18" s="420">
        <v>191.16149764099728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10.640467239134207</v>
      </c>
      <c r="Q18" s="47">
        <v>0</v>
      </c>
      <c r="R18" s="47">
        <v>149.05715832182847</v>
      </c>
      <c r="S18" s="47">
        <v>147.9371885591532</v>
      </c>
      <c r="T18" s="47">
        <v>93.43643076474075</v>
      </c>
      <c r="U18" s="47">
        <v>0</v>
      </c>
      <c r="V18" s="47">
        <v>0</v>
      </c>
      <c r="W18" s="53">
        <v>0</v>
      </c>
      <c r="X18" s="77">
        <v>592.232742525854</v>
      </c>
      <c r="Y18" s="55"/>
      <c r="Z18" s="49"/>
    </row>
    <row r="19" spans="2:26" ht="12.75">
      <c r="B19" s="42" t="s">
        <v>80</v>
      </c>
      <c r="C19" s="42"/>
      <c r="D19" s="42"/>
      <c r="E19" s="51"/>
      <c r="F19" s="47"/>
      <c r="G19" s="52"/>
      <c r="H19" s="420">
        <v>200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200</v>
      </c>
      <c r="W19" s="53">
        <v>0</v>
      </c>
      <c r="X19" s="77">
        <v>400</v>
      </c>
      <c r="Y19" s="55"/>
      <c r="Z19" s="49"/>
    </row>
    <row r="20" spans="2:27" ht="12.75">
      <c r="B20" s="57" t="s">
        <v>82</v>
      </c>
      <c r="C20" s="42"/>
      <c r="D20" s="42"/>
      <c r="E20" s="51"/>
      <c r="F20" s="47"/>
      <c r="G20" s="52"/>
      <c r="H20" s="420">
        <v>125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125</v>
      </c>
      <c r="T20" s="47">
        <v>0</v>
      </c>
      <c r="U20" s="47">
        <v>0</v>
      </c>
      <c r="V20" s="47">
        <v>0</v>
      </c>
      <c r="W20" s="53">
        <v>0</v>
      </c>
      <c r="X20" s="77">
        <v>250</v>
      </c>
      <c r="Y20" s="55">
        <f>SUM(Y9:Y17)</f>
        <v>12344.841307817154</v>
      </c>
      <c r="Z20" s="420"/>
      <c r="AA20" s="452"/>
    </row>
    <row r="21" spans="2:26" ht="12.75">
      <c r="B21" s="57"/>
      <c r="C21" s="42"/>
      <c r="D21" s="42"/>
      <c r="E21" s="51"/>
      <c r="F21" s="47"/>
      <c r="G21" s="52"/>
      <c r="H21" s="420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53"/>
      <c r="X21" s="77"/>
      <c r="Y21" s="55"/>
      <c r="Z21" s="49"/>
    </row>
    <row r="22" spans="1:26" s="59" customFormat="1" ht="12.75">
      <c r="A22" s="58"/>
      <c r="B22" s="459"/>
      <c r="D22" s="422" t="s">
        <v>464</v>
      </c>
      <c r="E22" s="61"/>
      <c r="F22" s="62"/>
      <c r="G22" s="457"/>
      <c r="H22" s="460">
        <v>2311.245744790589</v>
      </c>
      <c r="I22" s="62">
        <v>208.0600031298748</v>
      </c>
      <c r="J22" s="62">
        <v>0</v>
      </c>
      <c r="K22" s="62">
        <v>59.94277846221368</v>
      </c>
      <c r="L22" s="62">
        <v>0</v>
      </c>
      <c r="M22" s="62">
        <v>0</v>
      </c>
      <c r="N22" s="62">
        <v>268.00278159208847</v>
      </c>
      <c r="O22" s="62">
        <v>166.98345428759526</v>
      </c>
      <c r="P22" s="62">
        <v>120.08020838864343</v>
      </c>
      <c r="Q22" s="62">
        <v>112.00334810079032</v>
      </c>
      <c r="R22" s="62">
        <v>1088.1032927879528</v>
      </c>
      <c r="S22" s="62">
        <v>661.252057430732</v>
      </c>
      <c r="T22" s="62">
        <v>604.4649153337634</v>
      </c>
      <c r="U22" s="62">
        <v>184.23997719662526</v>
      </c>
      <c r="V22" s="62">
        <v>491.2389209517495</v>
      </c>
      <c r="W22" s="63">
        <v>187.68787898628176</v>
      </c>
      <c r="X22" s="64">
        <v>6195.302579846811</v>
      </c>
      <c r="Y22" s="458"/>
      <c r="Z22" s="98"/>
    </row>
    <row r="23" spans="2:26" ht="12.75">
      <c r="B23" s="57"/>
      <c r="C23" s="42"/>
      <c r="D23" s="42"/>
      <c r="E23" s="51"/>
      <c r="F23" s="47"/>
      <c r="G23" s="52"/>
      <c r="H23" s="42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53"/>
      <c r="X23" s="77"/>
      <c r="Y23" s="55"/>
      <c r="Z23" s="49"/>
    </row>
    <row r="24" spans="1:26" ht="12.75">
      <c r="A24" s="451" t="s">
        <v>462</v>
      </c>
      <c r="B24" s="57"/>
      <c r="C24" s="42"/>
      <c r="D24" s="42"/>
      <c r="E24" s="51"/>
      <c r="F24" s="47"/>
      <c r="G24" s="52"/>
      <c r="H24" s="420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53"/>
      <c r="X24" s="77"/>
      <c r="Y24" s="55"/>
      <c r="Z24" s="49"/>
    </row>
    <row r="25" spans="2:26" ht="12.75">
      <c r="B25" s="42" t="s">
        <v>78</v>
      </c>
      <c r="C25" s="42"/>
      <c r="D25" s="42"/>
      <c r="E25" s="51">
        <v>675</v>
      </c>
      <c r="F25" s="47">
        <v>225</v>
      </c>
      <c r="G25" s="52"/>
      <c r="H25" s="420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53"/>
      <c r="X25" s="77">
        <v>0</v>
      </c>
      <c r="Y25" s="55">
        <f aca="true" t="shared" si="0" ref="Y25:Y33">+X25</f>
        <v>0</v>
      </c>
      <c r="Z25" s="49"/>
    </row>
    <row r="26" spans="2:26" ht="12.75">
      <c r="B26" s="42" t="s">
        <v>79</v>
      </c>
      <c r="C26" s="42"/>
      <c r="D26" s="42"/>
      <c r="E26" s="51"/>
      <c r="F26" s="47">
        <v>70</v>
      </c>
      <c r="G26" s="52"/>
      <c r="H26" s="420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53"/>
      <c r="X26" s="77">
        <v>0</v>
      </c>
      <c r="Y26" s="55">
        <f t="shared" si="0"/>
        <v>0</v>
      </c>
      <c r="Z26" s="49"/>
    </row>
    <row r="27" spans="2:26" ht="12.75">
      <c r="B27" s="42" t="s">
        <v>83</v>
      </c>
      <c r="C27" s="42"/>
      <c r="D27" s="42"/>
      <c r="E27" s="51">
        <v>250</v>
      </c>
      <c r="F27" s="47"/>
      <c r="G27" s="52">
        <v>150</v>
      </c>
      <c r="H27" s="420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53"/>
      <c r="X27" s="77">
        <v>0</v>
      </c>
      <c r="Y27" s="55">
        <f t="shared" si="0"/>
        <v>0</v>
      </c>
      <c r="Z27" s="49"/>
    </row>
    <row r="28" spans="2:26" ht="12.75">
      <c r="B28" s="417" t="s">
        <v>463</v>
      </c>
      <c r="C28" s="42"/>
      <c r="D28" s="42"/>
      <c r="E28" s="51"/>
      <c r="F28" s="47"/>
      <c r="G28" s="52"/>
      <c r="H28" s="420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53"/>
      <c r="X28" s="77">
        <v>0</v>
      </c>
      <c r="Y28" s="55">
        <f t="shared" si="0"/>
        <v>0</v>
      </c>
      <c r="Z28" s="49"/>
    </row>
    <row r="29" spans="2:26" ht="12.75">
      <c r="B29" s="42"/>
      <c r="C29" s="42" t="s">
        <v>57</v>
      </c>
      <c r="D29" s="42"/>
      <c r="E29" s="51"/>
      <c r="F29" s="47">
        <v>210</v>
      </c>
      <c r="G29" s="52"/>
      <c r="H29" s="420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53"/>
      <c r="X29" s="77">
        <v>0</v>
      </c>
      <c r="Y29" s="55">
        <f t="shared" si="0"/>
        <v>0</v>
      </c>
      <c r="Z29" s="49"/>
    </row>
    <row r="30" spans="2:26" ht="12.75">
      <c r="B30" s="42"/>
      <c r="C30" s="42" t="s">
        <v>58</v>
      </c>
      <c r="D30" s="42"/>
      <c r="E30" s="51"/>
      <c r="F30" s="47">
        <v>550</v>
      </c>
      <c r="G30" s="52"/>
      <c r="H30" s="420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53"/>
      <c r="X30" s="77">
        <v>0</v>
      </c>
      <c r="Y30" s="55">
        <f t="shared" si="0"/>
        <v>0</v>
      </c>
      <c r="Z30" s="49"/>
    </row>
    <row r="31" spans="2:26" ht="12.75">
      <c r="B31" s="42"/>
      <c r="C31" s="42" t="s">
        <v>56</v>
      </c>
      <c r="D31" s="42"/>
      <c r="E31" s="51"/>
      <c r="F31" s="47">
        <v>870</v>
      </c>
      <c r="G31" s="52"/>
      <c r="H31" s="420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53"/>
      <c r="X31" s="77">
        <v>0</v>
      </c>
      <c r="Y31" s="55">
        <f t="shared" si="0"/>
        <v>0</v>
      </c>
      <c r="Z31" s="49"/>
    </row>
    <row r="32" spans="2:26" ht="12.75">
      <c r="B32" s="42" t="s">
        <v>84</v>
      </c>
      <c r="C32" s="42"/>
      <c r="D32" s="42"/>
      <c r="E32" s="51"/>
      <c r="F32" s="47">
        <v>450</v>
      </c>
      <c r="G32" s="52">
        <v>440</v>
      </c>
      <c r="H32" s="420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3"/>
      <c r="X32" s="77">
        <v>0</v>
      </c>
      <c r="Y32" s="55">
        <f t="shared" si="0"/>
        <v>0</v>
      </c>
      <c r="Z32" s="49"/>
    </row>
    <row r="33" spans="2:26" ht="12.75">
      <c r="B33" s="42"/>
      <c r="C33" s="42"/>
      <c r="D33" s="42"/>
      <c r="E33" s="51"/>
      <c r="F33" s="47"/>
      <c r="G33" s="52"/>
      <c r="H33" s="420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53"/>
      <c r="X33" s="77">
        <v>0</v>
      </c>
      <c r="Y33" s="55">
        <f t="shared" si="0"/>
        <v>0</v>
      </c>
      <c r="Z33" s="49"/>
    </row>
    <row r="34" spans="1:26" s="59" customFormat="1" ht="12.75">
      <c r="A34" s="58"/>
      <c r="D34" s="422" t="s">
        <v>465</v>
      </c>
      <c r="E34" s="61">
        <v>2438.546349846335</v>
      </c>
      <c r="F34" s="62">
        <v>2375</v>
      </c>
      <c r="G34" s="457">
        <v>1229.3795998106568</v>
      </c>
      <c r="H34" s="460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/>
      <c r="Y34" s="458"/>
      <c r="Z34" s="98"/>
    </row>
    <row r="35" spans="2:26" ht="12.75">
      <c r="B35" s="42"/>
      <c r="C35" s="42"/>
      <c r="D35" s="42"/>
      <c r="E35" s="51"/>
      <c r="F35" s="47"/>
      <c r="G35" s="52"/>
      <c r="H35" s="420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53"/>
      <c r="X35" s="77"/>
      <c r="Y35" s="55"/>
      <c r="Z35" s="49"/>
    </row>
    <row r="36" spans="1:26" s="33" customFormat="1" ht="12.75">
      <c r="A36" s="58"/>
      <c r="B36" s="59"/>
      <c r="C36" s="59"/>
      <c r="D36" s="59" t="s">
        <v>85</v>
      </c>
      <c r="E36" s="61">
        <v>2438.546349846335</v>
      </c>
      <c r="F36" s="62">
        <v>2375</v>
      </c>
      <c r="G36" s="457">
        <v>1229.3795998106568</v>
      </c>
      <c r="H36" s="460">
        <v>3951.245744790589</v>
      </c>
      <c r="I36" s="62">
        <v>308.06000312987476</v>
      </c>
      <c r="J36" s="62">
        <v>762.8581285938317</v>
      </c>
      <c r="K36" s="62">
        <v>3391.0860269390746</v>
      </c>
      <c r="L36" s="62">
        <v>281.4804968511189</v>
      </c>
      <c r="M36" s="62">
        <v>562.9609937022378</v>
      </c>
      <c r="N36" s="62">
        <v>4550.445649216138</v>
      </c>
      <c r="O36" s="62">
        <v>1986.312057159743</v>
      </c>
      <c r="P36" s="62">
        <v>622.0802083886434</v>
      </c>
      <c r="Q36" s="62">
        <v>412.00334810079033</v>
      </c>
      <c r="R36" s="62">
        <v>1588.1032927879528</v>
      </c>
      <c r="S36" s="62">
        <v>661.252057430732</v>
      </c>
      <c r="T36" s="62">
        <v>604.4649153337634</v>
      </c>
      <c r="U36" s="62">
        <v>394.23997719662526</v>
      </c>
      <c r="V36" s="62">
        <v>491.2389209517495</v>
      </c>
      <c r="W36" s="63">
        <v>187.68787898628176</v>
      </c>
      <c r="X36" s="64">
        <v>15449.07405034301</v>
      </c>
      <c r="Y36" s="460"/>
      <c r="Z36" s="66"/>
    </row>
    <row r="37" spans="1:25" s="65" customFormat="1" ht="12.75">
      <c r="A37" s="50"/>
      <c r="E37" s="449"/>
      <c r="F37" s="74"/>
      <c r="G37" s="75"/>
      <c r="H37" s="44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6"/>
      <c r="X37" s="450"/>
      <c r="Y37" s="429"/>
    </row>
    <row r="38" spans="1:26" s="33" customFormat="1" ht="12.75">
      <c r="A38" s="477" t="s">
        <v>466</v>
      </c>
      <c r="B38" s="65"/>
      <c r="C38" s="65"/>
      <c r="E38" s="449"/>
      <c r="F38" s="74"/>
      <c r="G38" s="75"/>
      <c r="H38" s="445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6"/>
      <c r="X38" s="450"/>
      <c r="Y38" s="429"/>
      <c r="Z38" s="66"/>
    </row>
    <row r="39" spans="1:26" s="33" customFormat="1" ht="12.75">
      <c r="A39" s="50"/>
      <c r="B39" s="417" t="s">
        <v>28</v>
      </c>
      <c r="C39" s="65"/>
      <c r="D39" s="65"/>
      <c r="E39" s="449"/>
      <c r="F39" s="74"/>
      <c r="G39" s="75"/>
      <c r="H39" s="445">
        <v>646.9459215541793</v>
      </c>
      <c r="I39" s="74">
        <v>54.40943495477899</v>
      </c>
      <c r="J39" s="74">
        <v>101.8493852314325</v>
      </c>
      <c r="K39" s="74">
        <v>496.0919539272149</v>
      </c>
      <c r="L39" s="74">
        <v>49.7789857996916</v>
      </c>
      <c r="M39" s="74">
        <v>99.5579715993832</v>
      </c>
      <c r="N39" s="74">
        <v>801.6877315125012</v>
      </c>
      <c r="O39" s="74">
        <v>382.4906761790734</v>
      </c>
      <c r="P39" s="74">
        <v>91.15080286545552</v>
      </c>
      <c r="Q39" s="74">
        <v>22.124655058044272</v>
      </c>
      <c r="R39" s="74">
        <v>185.49509600335116</v>
      </c>
      <c r="S39" s="74">
        <v>76.70603310860088</v>
      </c>
      <c r="T39" s="74">
        <v>100.9463479230131</v>
      </c>
      <c r="U39" s="74">
        <v>36.39396511351712</v>
      </c>
      <c r="V39" s="74">
        <v>57.53007186656605</v>
      </c>
      <c r="W39" s="76">
        <v>37.075048662033154</v>
      </c>
      <c r="X39" s="77">
        <v>2438.546349846335</v>
      </c>
      <c r="Y39" s="429"/>
      <c r="Z39" s="445">
        <f>E36-X39</f>
        <v>0</v>
      </c>
    </row>
    <row r="40" spans="1:26" s="33" customFormat="1" ht="12.75">
      <c r="A40" s="50"/>
      <c r="B40" s="42" t="s">
        <v>29</v>
      </c>
      <c r="C40" s="65"/>
      <c r="D40" s="65"/>
      <c r="E40" s="449"/>
      <c r="F40" s="74"/>
      <c r="G40" s="75"/>
      <c r="H40" s="445">
        <v>630.0870860166337</v>
      </c>
      <c r="I40" s="74">
        <v>52.991573453481024</v>
      </c>
      <c r="J40" s="74">
        <v>99.19528080321092</v>
      </c>
      <c r="K40" s="74">
        <v>483.16423866676996</v>
      </c>
      <c r="L40" s="74">
        <v>48.481789686596485</v>
      </c>
      <c r="M40" s="74">
        <v>96.96357937319297</v>
      </c>
      <c r="N40" s="74">
        <v>780.7964619832513</v>
      </c>
      <c r="O40" s="74">
        <v>372.52330921761774</v>
      </c>
      <c r="P40" s="74">
        <v>88.77549398193663</v>
      </c>
      <c r="Q40" s="74">
        <v>21.54810621752846</v>
      </c>
      <c r="R40" s="74">
        <v>180.66125871903986</v>
      </c>
      <c r="S40" s="74">
        <v>74.70714208258005</v>
      </c>
      <c r="T40" s="74">
        <v>98.31577584418841</v>
      </c>
      <c r="U40" s="74">
        <v>35.445570739325866</v>
      </c>
      <c r="V40" s="74">
        <v>56.03088934180166</v>
      </c>
      <c r="W40" s="76">
        <v>36.108905856096364</v>
      </c>
      <c r="X40" s="77">
        <v>2375</v>
      </c>
      <c r="Y40" s="429"/>
      <c r="Z40" s="445">
        <f>F36-X40</f>
        <v>0</v>
      </c>
    </row>
    <row r="41" spans="1:27" s="33" customFormat="1" ht="12.75">
      <c r="A41" s="50"/>
      <c r="B41" s="42" t="s">
        <v>31</v>
      </c>
      <c r="C41" s="65"/>
      <c r="D41" s="65"/>
      <c r="E41" s="449"/>
      <c r="F41" s="74"/>
      <c r="G41" s="75"/>
      <c r="H41" s="445">
        <v>326.15419353810194</v>
      </c>
      <c r="I41" s="74">
        <v>27.430214469716855</v>
      </c>
      <c r="J41" s="74">
        <v>51.346801943981966</v>
      </c>
      <c r="K41" s="74">
        <v>250.10200352630497</v>
      </c>
      <c r="L41" s="74">
        <v>25.095799243373648</v>
      </c>
      <c r="M41" s="74">
        <v>50.191598486747296</v>
      </c>
      <c r="N41" s="74">
        <v>404.16641767012476</v>
      </c>
      <c r="O41" s="74">
        <v>192.83055023414587</v>
      </c>
      <c r="P41" s="74">
        <v>45.953171058739635</v>
      </c>
      <c r="Q41" s="74">
        <v>11.154021978266385</v>
      </c>
      <c r="R41" s="74">
        <v>93.51632250328537</v>
      </c>
      <c r="S41" s="74">
        <v>38.67092060483374</v>
      </c>
      <c r="T41" s="74">
        <v>50.89154069995898</v>
      </c>
      <c r="U41" s="74">
        <v>18.3478153981359</v>
      </c>
      <c r="V41" s="74">
        <v>29.003466238340767</v>
      </c>
      <c r="W41" s="76">
        <v>18.69117988672355</v>
      </c>
      <c r="X41" s="77">
        <v>1229.379599810657</v>
      </c>
      <c r="Y41" s="429"/>
      <c r="Z41" s="445">
        <f>G36-X41</f>
        <v>0</v>
      </c>
      <c r="AA41" s="488">
        <f>SUM(Z39:Z41)</f>
        <v>0</v>
      </c>
    </row>
    <row r="42" spans="1:26" s="33" customFormat="1" ht="13.5" thickBot="1">
      <c r="A42" s="50"/>
      <c r="B42" s="65"/>
      <c r="C42" s="65"/>
      <c r="D42" s="65"/>
      <c r="E42" s="449"/>
      <c r="F42" s="74"/>
      <c r="G42" s="75"/>
      <c r="H42" s="445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6"/>
      <c r="X42" s="450"/>
      <c r="Y42" s="429"/>
      <c r="Z42" s="66"/>
    </row>
    <row r="43" spans="1:27" s="475" customFormat="1" ht="13.5" thickBot="1">
      <c r="A43" s="79"/>
      <c r="B43" s="471"/>
      <c r="C43" s="471"/>
      <c r="D43" s="471" t="s">
        <v>86</v>
      </c>
      <c r="E43" s="474"/>
      <c r="F43" s="472"/>
      <c r="G43" s="486"/>
      <c r="H43" s="481">
        <v>5554.432945899504</v>
      </c>
      <c r="I43" s="472">
        <v>442.8912260078516</v>
      </c>
      <c r="J43" s="472">
        <v>1015.2495965724571</v>
      </c>
      <c r="K43" s="472">
        <v>4620.444223059364</v>
      </c>
      <c r="L43" s="472">
        <v>404.8370715807806</v>
      </c>
      <c r="M43" s="472">
        <v>809.6741431615612</v>
      </c>
      <c r="N43" s="472">
        <v>6537.096260382015</v>
      </c>
      <c r="O43" s="472">
        <v>2934.15659279058</v>
      </c>
      <c r="P43" s="472">
        <v>847.9596762947751</v>
      </c>
      <c r="Q43" s="472">
        <v>466.83013135462943</v>
      </c>
      <c r="R43" s="472">
        <v>2047.7759700136291</v>
      </c>
      <c r="S43" s="472">
        <v>851.3361532267467</v>
      </c>
      <c r="T43" s="472">
        <v>854.618579800924</v>
      </c>
      <c r="U43" s="472">
        <v>484.42732844760417</v>
      </c>
      <c r="V43" s="472">
        <v>633.803348398458</v>
      </c>
      <c r="W43" s="473">
        <v>279.56301339113486</v>
      </c>
      <c r="X43" s="82">
        <v>21492</v>
      </c>
      <c r="Z43" s="476"/>
      <c r="AA43" s="489"/>
    </row>
    <row r="44" spans="2:26" ht="12.75">
      <c r="B44" s="42"/>
      <c r="C44" s="42"/>
      <c r="D44" s="42"/>
      <c r="E44" s="51"/>
      <c r="F44" s="47"/>
      <c r="G44" s="52"/>
      <c r="H44" s="431">
        <v>0.4057422151539405</v>
      </c>
      <c r="I44" s="462">
        <v>0.43767844416054713</v>
      </c>
      <c r="J44" s="462">
        <v>0.3308498114110102</v>
      </c>
      <c r="K44" s="462">
        <v>0.36252639607316484</v>
      </c>
      <c r="L44" s="462">
        <v>0.43824199583855244</v>
      </c>
      <c r="M44" s="462">
        <v>0.43824199583855244</v>
      </c>
      <c r="N44" s="462">
        <v>0.43658374680468903</v>
      </c>
      <c r="O44" s="462">
        <v>0.47718812973736563</v>
      </c>
      <c r="P44" s="462">
        <v>0.3631034468870516</v>
      </c>
      <c r="Q44" s="462">
        <v>0.13307363521819388</v>
      </c>
      <c r="R44" s="462">
        <v>0.289447594065944</v>
      </c>
      <c r="S44" s="462">
        <v>0.2874608761666144</v>
      </c>
      <c r="T44" s="462">
        <v>0.41384314973687886</v>
      </c>
      <c r="U44" s="462">
        <v>0.22876257220864837</v>
      </c>
      <c r="V44" s="462">
        <v>0.29021403102689297</v>
      </c>
      <c r="W44" s="466">
        <v>0.48951021718119736</v>
      </c>
      <c r="X44" s="470">
        <v>0.391151335670038</v>
      </c>
      <c r="Y44" s="42"/>
      <c r="Z44" s="49"/>
    </row>
    <row r="45" spans="1:26" ht="12.75">
      <c r="A45" s="50" t="s">
        <v>87</v>
      </c>
      <c r="B45" s="42"/>
      <c r="C45" s="42"/>
      <c r="D45" s="42"/>
      <c r="E45" s="51"/>
      <c r="F45" s="47"/>
      <c r="G45" s="52"/>
      <c r="H45" s="420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53"/>
      <c r="X45" s="77">
        <v>0</v>
      </c>
      <c r="Y45" s="42"/>
      <c r="Z45" s="49"/>
    </row>
    <row r="46" spans="2:26" ht="12.75">
      <c r="B46" s="42"/>
      <c r="C46" s="42"/>
      <c r="D46" s="42"/>
      <c r="E46" s="51"/>
      <c r="F46" s="47"/>
      <c r="G46" s="52"/>
      <c r="H46" s="420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53"/>
      <c r="X46" s="77">
        <v>0</v>
      </c>
      <c r="Y46" s="42"/>
      <c r="Z46" s="49"/>
    </row>
    <row r="47" spans="2:26" ht="12.75">
      <c r="B47" s="42" t="s">
        <v>88</v>
      </c>
      <c r="C47" s="42"/>
      <c r="D47" s="42"/>
      <c r="E47" s="51"/>
      <c r="F47" s="47"/>
      <c r="G47" s="52"/>
      <c r="H47" s="420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53"/>
      <c r="X47" s="77">
        <v>0</v>
      </c>
      <c r="Y47" s="42"/>
      <c r="Z47" s="49"/>
    </row>
    <row r="48" spans="2:26" ht="16.5" customHeight="1">
      <c r="B48" s="417" t="s">
        <v>389</v>
      </c>
      <c r="C48" s="42"/>
      <c r="D48" s="42"/>
      <c r="E48" s="51"/>
      <c r="F48" s="47"/>
      <c r="G48" s="52"/>
      <c r="H48" s="420"/>
      <c r="I48" s="47"/>
      <c r="J48" s="47"/>
      <c r="K48" s="47"/>
      <c r="L48" s="47"/>
      <c r="M48" s="47"/>
      <c r="N48" s="47">
        <v>2815</v>
      </c>
      <c r="O48" s="47"/>
      <c r="P48" s="47">
        <v>357</v>
      </c>
      <c r="Q48" s="47"/>
      <c r="R48" s="47"/>
      <c r="S48" s="47"/>
      <c r="T48" s="47"/>
      <c r="U48" s="47"/>
      <c r="V48" s="47"/>
      <c r="W48" s="53"/>
      <c r="X48" s="77">
        <v>3172</v>
      </c>
      <c r="Y48" s="42"/>
      <c r="Z48" s="49"/>
    </row>
    <row r="49" spans="1:26" s="3" customFormat="1" ht="12.75">
      <c r="A49" s="68"/>
      <c r="B49" s="23" t="s">
        <v>89</v>
      </c>
      <c r="C49" s="23"/>
      <c r="D49" s="23"/>
      <c r="E49" s="71"/>
      <c r="F49" s="69"/>
      <c r="G49" s="70"/>
      <c r="H49" s="428">
        <v>1125</v>
      </c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>
        <v>125</v>
      </c>
      <c r="T49" s="69"/>
      <c r="U49" s="69"/>
      <c r="V49" s="69"/>
      <c r="W49" s="72"/>
      <c r="X49" s="77">
        <v>1250</v>
      </c>
      <c r="Y49" s="23"/>
      <c r="Z49" s="73"/>
    </row>
    <row r="50" spans="2:26" ht="12.75">
      <c r="B50" s="417" t="s">
        <v>468</v>
      </c>
      <c r="C50" s="42"/>
      <c r="D50" s="42"/>
      <c r="E50" s="51"/>
      <c r="F50" s="47"/>
      <c r="G50" s="52"/>
      <c r="H50" s="420"/>
      <c r="I50" s="47"/>
      <c r="J50" s="47"/>
      <c r="K50" s="47"/>
      <c r="L50" s="47"/>
      <c r="M50" s="47"/>
      <c r="N50" s="47"/>
      <c r="O50" s="47"/>
      <c r="P50" s="47"/>
      <c r="Q50" s="47">
        <v>300</v>
      </c>
      <c r="R50" s="47"/>
      <c r="S50" s="47"/>
      <c r="T50" s="47"/>
      <c r="U50" s="47"/>
      <c r="V50" s="47"/>
      <c r="W50" s="53"/>
      <c r="X50" s="77">
        <v>300</v>
      </c>
      <c r="Y50" s="42"/>
      <c r="Z50" s="49"/>
    </row>
    <row r="51" spans="2:26" ht="12.75">
      <c r="B51" s="493" t="s">
        <v>309</v>
      </c>
      <c r="C51" s="42"/>
      <c r="D51" s="42"/>
      <c r="E51" s="51"/>
      <c r="F51" s="47"/>
      <c r="G51" s="52"/>
      <c r="H51" s="420"/>
      <c r="I51" s="47"/>
      <c r="J51" s="47"/>
      <c r="K51" s="47"/>
      <c r="L51" s="47"/>
      <c r="M51" s="47"/>
      <c r="N51" s="47"/>
      <c r="O51" s="47"/>
      <c r="P51" s="47"/>
      <c r="Q51" s="47"/>
      <c r="R51" s="47">
        <v>100</v>
      </c>
      <c r="S51" s="47"/>
      <c r="T51" s="47"/>
      <c r="U51" s="47"/>
      <c r="V51" s="47"/>
      <c r="W51" s="53"/>
      <c r="X51" s="77">
        <v>100</v>
      </c>
      <c r="Y51" s="42"/>
      <c r="Z51" s="49"/>
    </row>
    <row r="52" spans="1:26" s="33" customFormat="1" ht="12.75">
      <c r="A52" s="50" t="s">
        <v>68</v>
      </c>
      <c r="B52" s="65"/>
      <c r="C52" s="65"/>
      <c r="D52" s="65"/>
      <c r="E52" s="449"/>
      <c r="F52" s="74"/>
      <c r="G52" s="75"/>
      <c r="H52" s="445">
        <v>1125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2815</v>
      </c>
      <c r="O52" s="74">
        <v>0</v>
      </c>
      <c r="P52" s="74">
        <v>357</v>
      </c>
      <c r="Q52" s="74">
        <v>300</v>
      </c>
      <c r="R52" s="74">
        <v>100</v>
      </c>
      <c r="S52" s="74">
        <v>125</v>
      </c>
      <c r="T52" s="74">
        <v>0</v>
      </c>
      <c r="U52" s="74">
        <v>0</v>
      </c>
      <c r="V52" s="74">
        <v>0</v>
      </c>
      <c r="W52" s="76">
        <v>0</v>
      </c>
      <c r="X52" s="77">
        <v>4822</v>
      </c>
      <c r="Y52" s="78"/>
      <c r="Z52" s="66"/>
    </row>
    <row r="53" spans="2:26" ht="13.5" thickBot="1">
      <c r="B53" s="42"/>
      <c r="C53" s="42"/>
      <c r="D53" s="42"/>
      <c r="E53" s="51"/>
      <c r="F53" s="47"/>
      <c r="G53" s="52"/>
      <c r="H53" s="482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7"/>
      <c r="X53" s="77"/>
      <c r="Y53" s="42"/>
      <c r="Z53" s="49"/>
    </row>
    <row r="54" spans="1:26" s="33" customFormat="1" ht="13.5" thickBot="1">
      <c r="A54" s="79"/>
      <c r="B54" s="25"/>
      <c r="C54" s="25"/>
      <c r="D54" s="25" t="s">
        <v>69</v>
      </c>
      <c r="E54" s="487">
        <v>0</v>
      </c>
      <c r="F54" s="80">
        <v>0</v>
      </c>
      <c r="G54" s="81">
        <v>0</v>
      </c>
      <c r="H54" s="430">
        <v>4429.432945899504</v>
      </c>
      <c r="I54" s="430"/>
      <c r="J54" s="430"/>
      <c r="K54" s="430"/>
      <c r="L54" s="430"/>
      <c r="M54" s="430"/>
      <c r="N54" s="80">
        <v>3722.0962603820153</v>
      </c>
      <c r="O54" s="80">
        <v>2934.15659279058</v>
      </c>
      <c r="P54" s="80">
        <v>490.95967629477514</v>
      </c>
      <c r="Q54" s="80">
        <v>166.83013135462943</v>
      </c>
      <c r="R54" s="80">
        <v>1947.7759700136291</v>
      </c>
      <c r="S54" s="80">
        <v>726.3361532267467</v>
      </c>
      <c r="T54" s="80">
        <v>854.618579800924</v>
      </c>
      <c r="U54" s="80">
        <v>484.42732844760417</v>
      </c>
      <c r="V54" s="80">
        <v>633.803348398458</v>
      </c>
      <c r="W54" s="468">
        <v>279.56301339113486</v>
      </c>
      <c r="X54" s="82">
        <v>16670</v>
      </c>
      <c r="Y54" s="35"/>
      <c r="Z54" s="40"/>
    </row>
    <row r="55" spans="1:24" ht="12.75">
      <c r="A55"/>
      <c r="X55"/>
    </row>
    <row r="56" spans="1:24" ht="12.75">
      <c r="A56"/>
      <c r="X56"/>
    </row>
    <row r="57" spans="1:24" ht="12.75">
      <c r="A57"/>
      <c r="X57"/>
    </row>
    <row r="58" spans="1:24" ht="12.75">
      <c r="A58"/>
      <c r="X58"/>
    </row>
    <row r="59" spans="1:24" ht="12.75">
      <c r="A59"/>
      <c r="X59"/>
    </row>
    <row r="60" spans="1:24" ht="12.75">
      <c r="A60"/>
      <c r="X60"/>
    </row>
    <row r="61" spans="1:24" ht="12.75">
      <c r="A61"/>
      <c r="X61"/>
    </row>
    <row r="62" spans="1:24" ht="12.75">
      <c r="A62"/>
      <c r="X62"/>
    </row>
    <row r="63" spans="1:24" ht="12.75">
      <c r="A63"/>
      <c r="X63"/>
    </row>
    <row r="64" spans="1:24" ht="12.75">
      <c r="A64"/>
      <c r="X64"/>
    </row>
    <row r="65" spans="1:24" ht="12.75">
      <c r="A65"/>
      <c r="X65"/>
    </row>
  </sheetData>
  <mergeCells count="1">
    <mergeCell ref="E1:G1"/>
  </mergeCells>
  <printOptions horizontalCentered="1" verticalCentered="1"/>
  <pageMargins left="0.35433070866141736" right="0.35433070866141736" top="0.5905511811023623" bottom="0.3937007874015748" header="0.31496062992125984" footer="0.5118110236220472"/>
  <pageSetup fitToHeight="1" fitToWidth="1" horizontalDpi="600" verticalDpi="600" orientation="landscape" paperSize="9" scale="71" r:id="rId3"/>
  <headerFooter alignWithMargins="0">
    <oddHeader>&amp;C&amp;"Arial,Bold"&amp;14TABLE 2 : Expense and funding allocation by cost center
2001 Budget</oddHeader>
    <oddFooter>&amp;R&amp;F  &amp;A  &amp;D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workbookViewId="0" topLeftCell="A2">
      <pane xSplit="4170" ySplit="2430" topLeftCell="L37" activePane="bottomRight" state="split"/>
      <selection pane="topLeft" activeCell="A2" sqref="A1:A16384"/>
      <selection pane="topRight" activeCell="I2" sqref="I1:M16384"/>
      <selection pane="bottomLeft" activeCell="A44" sqref="A44:IV44"/>
      <selection pane="bottomRight" activeCell="O58" sqref="O58"/>
    </sheetView>
  </sheetViews>
  <sheetFormatPr defaultColWidth="9.140625" defaultRowHeight="12.75"/>
  <cols>
    <col min="1" max="1" width="3.421875" style="41" customWidth="1"/>
    <col min="2" max="2" width="3.28125" style="0" customWidth="1"/>
    <col min="3" max="3" width="3.8515625" style="0" customWidth="1"/>
    <col min="4" max="4" width="25.421875" style="0" customWidth="1"/>
    <col min="6" max="6" width="10.140625" style="0" customWidth="1"/>
    <col min="7" max="7" width="10.57421875" style="0" customWidth="1"/>
    <col min="19" max="19" width="11.00390625" style="33" customWidth="1"/>
    <col min="20" max="20" width="11.57421875" style="0" hidden="1" customWidth="1"/>
    <col min="21" max="21" width="0" style="0" hidden="1" customWidth="1"/>
  </cols>
  <sheetData>
    <row r="1" spans="1:21" s="33" customFormat="1" ht="15" customHeight="1" thickBot="1">
      <c r="A1" s="24"/>
      <c r="B1" s="25"/>
      <c r="C1" s="25"/>
      <c r="D1" s="26"/>
      <c r="E1" s="610" t="s">
        <v>467</v>
      </c>
      <c r="F1" s="611"/>
      <c r="G1" s="612"/>
      <c r="H1" s="28"/>
      <c r="I1" s="29" t="s">
        <v>70</v>
      </c>
      <c r="J1" s="27"/>
      <c r="K1" s="27"/>
      <c r="L1" s="27"/>
      <c r="M1" s="27"/>
      <c r="N1" s="27"/>
      <c r="O1" s="27"/>
      <c r="P1" s="27"/>
      <c r="Q1" s="27"/>
      <c r="R1" s="27"/>
      <c r="S1" s="30"/>
      <c r="T1" s="31"/>
      <c r="U1" s="32"/>
    </row>
    <row r="2" spans="1:21" s="33" customFormat="1" ht="85.5" customHeight="1">
      <c r="A2" s="34" t="s">
        <v>71</v>
      </c>
      <c r="B2" s="35"/>
      <c r="C2" s="35"/>
      <c r="D2" s="35"/>
      <c r="E2" s="483" t="s">
        <v>28</v>
      </c>
      <c r="F2" s="484" t="s">
        <v>29</v>
      </c>
      <c r="G2" s="485" t="s">
        <v>31</v>
      </c>
      <c r="H2" s="426" t="s">
        <v>72</v>
      </c>
      <c r="I2" s="37" t="s">
        <v>26</v>
      </c>
      <c r="J2" s="37" t="s">
        <v>27</v>
      </c>
      <c r="K2" s="37" t="s">
        <v>127</v>
      </c>
      <c r="L2" s="38" t="s">
        <v>37</v>
      </c>
      <c r="M2" s="37" t="s">
        <v>30</v>
      </c>
      <c r="N2" s="37" t="s">
        <v>32</v>
      </c>
      <c r="O2" s="37" t="s">
        <v>33</v>
      </c>
      <c r="P2" s="37" t="s">
        <v>73</v>
      </c>
      <c r="Q2" s="37" t="s">
        <v>35</v>
      </c>
      <c r="R2" s="38" t="s">
        <v>36</v>
      </c>
      <c r="S2" s="39" t="s">
        <v>74</v>
      </c>
      <c r="T2" s="469" t="s">
        <v>411</v>
      </c>
      <c r="U2" s="40"/>
    </row>
    <row r="3" spans="2:21" ht="12.75" customHeight="1">
      <c r="B3" s="42"/>
      <c r="C3" s="42"/>
      <c r="D3" s="42"/>
      <c r="E3" s="44"/>
      <c r="F3" s="45"/>
      <c r="G3" s="46"/>
      <c r="H3" s="478"/>
      <c r="I3" s="461"/>
      <c r="J3" s="461"/>
      <c r="K3" s="461"/>
      <c r="L3" s="461"/>
      <c r="M3" s="461"/>
      <c r="N3" s="461"/>
      <c r="O3" s="461"/>
      <c r="P3" s="461"/>
      <c r="Q3" s="461"/>
      <c r="R3" s="464"/>
      <c r="S3" s="77"/>
      <c r="T3" s="42"/>
      <c r="U3" s="49"/>
    </row>
    <row r="4" spans="1:21" ht="12.75" customHeight="1">
      <c r="A4" s="50" t="s">
        <v>75</v>
      </c>
      <c r="B4" s="42"/>
      <c r="C4" s="42"/>
      <c r="D4" s="42"/>
      <c r="E4" s="44"/>
      <c r="F4" s="45"/>
      <c r="G4" s="46"/>
      <c r="H4" s="427"/>
      <c r="I4" s="45"/>
      <c r="J4" s="45"/>
      <c r="K4" s="45"/>
      <c r="L4" s="45"/>
      <c r="M4" s="45"/>
      <c r="N4" s="45"/>
      <c r="O4" s="45"/>
      <c r="P4" s="45"/>
      <c r="Q4" s="45"/>
      <c r="R4" s="48"/>
      <c r="S4" s="77"/>
      <c r="T4" s="42"/>
      <c r="U4" s="49"/>
    </row>
    <row r="5" spans="2:21" ht="12.75">
      <c r="B5" s="42" t="s">
        <v>76</v>
      </c>
      <c r="C5" s="42"/>
      <c r="D5" s="42"/>
      <c r="E5" s="116"/>
      <c r="F5" s="47"/>
      <c r="G5" s="119"/>
      <c r="H5" s="420"/>
      <c r="I5" s="54"/>
      <c r="J5" s="54"/>
      <c r="K5" s="54"/>
      <c r="L5" s="47"/>
      <c r="M5" s="47"/>
      <c r="N5" s="47"/>
      <c r="O5" s="47"/>
      <c r="P5" s="47"/>
      <c r="Q5" s="47"/>
      <c r="R5" s="53"/>
      <c r="S5" s="77"/>
      <c r="T5" s="42"/>
      <c r="U5" s="49"/>
    </row>
    <row r="6" spans="2:21" ht="12.75">
      <c r="B6" s="42"/>
      <c r="C6" s="42" t="s">
        <v>77</v>
      </c>
      <c r="D6" s="42"/>
      <c r="E6" s="116"/>
      <c r="F6" s="47"/>
      <c r="G6" s="119"/>
      <c r="H6" s="479">
        <v>1480</v>
      </c>
      <c r="I6" s="454">
        <v>1950</v>
      </c>
      <c r="J6" s="454">
        <v>1336</v>
      </c>
      <c r="K6" s="454">
        <v>252</v>
      </c>
      <c r="L6" s="454">
        <v>0</v>
      </c>
      <c r="M6" s="454">
        <v>0</v>
      </c>
      <c r="N6" s="454">
        <v>0</v>
      </c>
      <c r="O6" s="454">
        <v>0</v>
      </c>
      <c r="P6" s="454">
        <v>0</v>
      </c>
      <c r="Q6" s="454">
        <v>0</v>
      </c>
      <c r="R6" s="465">
        <v>0</v>
      </c>
      <c r="S6" s="456">
        <v>5018</v>
      </c>
      <c r="T6" s="55" t="e">
        <f>+S6+#REF!+#REF!</f>
        <v>#REF!</v>
      </c>
      <c r="U6" s="49"/>
    </row>
    <row r="7" spans="2:21" ht="12.75">
      <c r="B7" s="42"/>
      <c r="C7" s="417" t="s">
        <v>460</v>
      </c>
      <c r="D7" s="42"/>
      <c r="E7" s="51">
        <v>0</v>
      </c>
      <c r="F7" s="47"/>
      <c r="G7" s="52">
        <v>0</v>
      </c>
      <c r="H7" s="480">
        <v>0</v>
      </c>
      <c r="I7" s="454">
        <v>1084.4428676240493</v>
      </c>
      <c r="J7" s="454">
        <v>433.3286028721478</v>
      </c>
      <c r="K7" s="454">
        <v>100</v>
      </c>
      <c r="L7" s="454">
        <v>0</v>
      </c>
      <c r="M7" s="454">
        <v>0</v>
      </c>
      <c r="N7" s="454">
        <v>0</v>
      </c>
      <c r="O7" s="454">
        <v>0</v>
      </c>
      <c r="P7" s="454">
        <v>0</v>
      </c>
      <c r="Q7" s="454">
        <v>0</v>
      </c>
      <c r="R7" s="465">
        <v>0</v>
      </c>
      <c r="S7" s="456">
        <v>1617.7714704961973</v>
      </c>
      <c r="T7" s="55">
        <f>+S7</f>
        <v>1617.7714704961973</v>
      </c>
      <c r="U7" s="49"/>
    </row>
    <row r="8" spans="2:21" ht="8.25" customHeight="1">
      <c r="B8" s="42"/>
      <c r="C8" s="417"/>
      <c r="D8" s="42"/>
      <c r="E8" s="51"/>
      <c r="F8" s="47"/>
      <c r="G8" s="52"/>
      <c r="H8" s="420"/>
      <c r="I8" s="47"/>
      <c r="J8" s="47"/>
      <c r="K8" s="47"/>
      <c r="L8" s="47"/>
      <c r="M8" s="47"/>
      <c r="N8" s="47"/>
      <c r="O8" s="47"/>
      <c r="P8" s="47"/>
      <c r="Q8" s="47"/>
      <c r="R8" s="53"/>
      <c r="S8" s="77"/>
      <c r="T8" s="55"/>
      <c r="U8" s="49"/>
    </row>
    <row r="9" spans="2:22" ht="12.75">
      <c r="B9" s="57" t="s">
        <v>410</v>
      </c>
      <c r="D9" s="42"/>
      <c r="E9" s="51">
        <v>0</v>
      </c>
      <c r="F9" s="47">
        <v>0</v>
      </c>
      <c r="G9" s="52">
        <v>0</v>
      </c>
      <c r="H9" s="420">
        <v>1480</v>
      </c>
      <c r="I9" s="47">
        <v>3034.4428676240495</v>
      </c>
      <c r="J9" s="47">
        <v>1769.3286028721477</v>
      </c>
      <c r="K9" s="47">
        <v>352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53">
        <v>0</v>
      </c>
      <c r="S9" s="77">
        <v>6635.771470496197</v>
      </c>
      <c r="T9" s="420" t="e">
        <f>SUM(T6:T7)</f>
        <v>#REF!</v>
      </c>
      <c r="U9" s="420"/>
      <c r="V9" s="452"/>
    </row>
    <row r="10" spans="2:21" ht="12.75">
      <c r="B10" s="42" t="s">
        <v>49</v>
      </c>
      <c r="C10" s="42"/>
      <c r="D10" s="42"/>
      <c r="E10" s="51">
        <v>0</v>
      </c>
      <c r="F10" s="47">
        <v>0</v>
      </c>
      <c r="G10" s="52">
        <v>0</v>
      </c>
      <c r="H10" s="420">
        <v>160</v>
      </c>
      <c r="I10" s="47">
        <v>800</v>
      </c>
      <c r="J10" s="47">
        <v>50</v>
      </c>
      <c r="K10" s="47">
        <v>80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53">
        <v>0</v>
      </c>
      <c r="S10" s="77">
        <v>1090</v>
      </c>
      <c r="T10" s="55"/>
      <c r="U10" s="49"/>
    </row>
    <row r="11" spans="2:21" ht="12.75">
      <c r="B11" s="57" t="s">
        <v>339</v>
      </c>
      <c r="C11" s="42"/>
      <c r="D11" s="42"/>
      <c r="E11" s="51"/>
      <c r="F11" s="47"/>
      <c r="G11" s="52"/>
      <c r="H11" s="420"/>
      <c r="I11" s="47">
        <v>448</v>
      </c>
      <c r="J11" s="47">
        <v>0</v>
      </c>
      <c r="K11" s="47">
        <v>70</v>
      </c>
      <c r="L11" s="47">
        <v>300</v>
      </c>
      <c r="M11" s="47">
        <v>500</v>
      </c>
      <c r="N11" s="47">
        <v>0</v>
      </c>
      <c r="O11" s="47">
        <v>0</v>
      </c>
      <c r="P11" s="47">
        <v>0</v>
      </c>
      <c r="Q11" s="47">
        <v>0</v>
      </c>
      <c r="R11" s="53">
        <v>0</v>
      </c>
      <c r="S11" s="77">
        <v>1318</v>
      </c>
      <c r="T11" s="55"/>
      <c r="U11" s="49"/>
    </row>
    <row r="12" spans="2:21" ht="12.75">
      <c r="B12" s="42" t="s">
        <v>81</v>
      </c>
      <c r="C12" s="42"/>
      <c r="D12" s="42"/>
      <c r="E12" s="51"/>
      <c r="F12" s="47"/>
      <c r="G12" s="52"/>
      <c r="H12" s="420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210</v>
      </c>
      <c r="Q12" s="47">
        <v>0</v>
      </c>
      <c r="R12" s="53">
        <v>0</v>
      </c>
      <c r="S12" s="77">
        <v>210</v>
      </c>
      <c r="T12" s="55"/>
      <c r="U12" s="49"/>
    </row>
    <row r="13" spans="2:21" ht="12.75">
      <c r="B13" s="42"/>
      <c r="C13" s="42"/>
      <c r="D13" s="42"/>
      <c r="E13" s="51"/>
      <c r="F13" s="47"/>
      <c r="G13" s="52"/>
      <c r="H13" s="420"/>
      <c r="I13" s="47"/>
      <c r="J13" s="47"/>
      <c r="K13" s="47"/>
      <c r="L13" s="47"/>
      <c r="M13" s="47"/>
      <c r="N13" s="47"/>
      <c r="O13" s="47"/>
      <c r="P13" s="47"/>
      <c r="Q13" s="47"/>
      <c r="R13" s="53"/>
      <c r="S13" s="77"/>
      <c r="T13" s="55"/>
      <c r="U13" s="49"/>
    </row>
    <row r="14" spans="1:21" s="59" customFormat="1" ht="12.75">
      <c r="A14" s="58"/>
      <c r="D14" s="59" t="s">
        <v>85</v>
      </c>
      <c r="E14" s="61"/>
      <c r="F14" s="62"/>
      <c r="G14" s="457"/>
      <c r="H14" s="460">
        <v>1640</v>
      </c>
      <c r="I14" s="62">
        <v>4282.4428676240495</v>
      </c>
      <c r="J14" s="62">
        <v>1819.3286028721477</v>
      </c>
      <c r="K14" s="62">
        <v>502</v>
      </c>
      <c r="L14" s="62">
        <v>300</v>
      </c>
      <c r="M14" s="62">
        <v>500</v>
      </c>
      <c r="N14" s="62">
        <v>0</v>
      </c>
      <c r="O14" s="62">
        <v>0</v>
      </c>
      <c r="P14" s="62">
        <v>210</v>
      </c>
      <c r="Q14" s="62">
        <v>0</v>
      </c>
      <c r="R14" s="63">
        <v>0</v>
      </c>
      <c r="S14" s="64">
        <v>9253.771470496198</v>
      </c>
      <c r="T14" s="458"/>
      <c r="U14" s="98"/>
    </row>
    <row r="15" spans="2:21" ht="12.75">
      <c r="B15" s="42"/>
      <c r="C15" s="42"/>
      <c r="D15" s="42"/>
      <c r="E15" s="51"/>
      <c r="F15" s="47"/>
      <c r="G15" s="52"/>
      <c r="H15" s="420"/>
      <c r="I15" s="47"/>
      <c r="J15" s="47"/>
      <c r="K15" s="47"/>
      <c r="L15" s="47"/>
      <c r="M15" s="47"/>
      <c r="N15" s="47"/>
      <c r="O15" s="47"/>
      <c r="P15" s="47"/>
      <c r="Q15" s="47"/>
      <c r="R15" s="53"/>
      <c r="S15" s="77"/>
      <c r="T15" s="55"/>
      <c r="U15" s="49"/>
    </row>
    <row r="16" spans="1:21" ht="12.75">
      <c r="A16" s="477" t="s">
        <v>453</v>
      </c>
      <c r="B16" s="42"/>
      <c r="C16" s="42"/>
      <c r="D16" s="42"/>
      <c r="E16" s="51"/>
      <c r="F16" s="47"/>
      <c r="G16" s="52"/>
      <c r="H16" s="420"/>
      <c r="I16" s="47"/>
      <c r="J16" s="47"/>
      <c r="K16" s="47"/>
      <c r="L16" s="47"/>
      <c r="M16" s="47"/>
      <c r="N16" s="47"/>
      <c r="O16" s="47"/>
      <c r="P16" s="47"/>
      <c r="Q16" s="47"/>
      <c r="R16" s="53"/>
      <c r="S16" s="77"/>
      <c r="T16" s="55"/>
      <c r="U16" s="49"/>
    </row>
    <row r="17" spans="2:21" ht="12.75">
      <c r="B17" s="417" t="s">
        <v>461</v>
      </c>
      <c r="D17" s="42"/>
      <c r="E17" s="51">
        <v>1494.662721109262</v>
      </c>
      <c r="F17" s="47">
        <v>0</v>
      </c>
      <c r="G17" s="52">
        <v>620.4959710735839</v>
      </c>
      <c r="H17" s="420">
        <v>1795.0842471495914</v>
      </c>
      <c r="I17" s="47">
        <v>268.00278159208847</v>
      </c>
      <c r="J17" s="47">
        <v>166.98345428759526</v>
      </c>
      <c r="K17" s="47">
        <v>109.43974114950922</v>
      </c>
      <c r="L17" s="47">
        <v>112.00334810079032</v>
      </c>
      <c r="M17" s="47">
        <v>939.0461344661243</v>
      </c>
      <c r="N17" s="47">
        <v>388.3148688715787</v>
      </c>
      <c r="O17" s="47">
        <v>511.0284845690227</v>
      </c>
      <c r="P17" s="47">
        <v>184.23997719662526</v>
      </c>
      <c r="Q17" s="47">
        <v>291.2389209517495</v>
      </c>
      <c r="R17" s="53">
        <v>187.68787898628176</v>
      </c>
      <c r="S17" s="77">
        <v>4953.069837320957</v>
      </c>
      <c r="T17" s="55">
        <f>+S17</f>
        <v>4953.069837320957</v>
      </c>
      <c r="U17" s="49"/>
    </row>
    <row r="18" spans="2:21" ht="12.75">
      <c r="B18" s="42" t="s">
        <v>49</v>
      </c>
      <c r="D18" s="42"/>
      <c r="E18" s="51">
        <v>18.88362873707301</v>
      </c>
      <c r="F18" s="47">
        <v>0</v>
      </c>
      <c r="G18" s="52">
        <v>18.88362873707301</v>
      </c>
      <c r="H18" s="420">
        <v>191.16149764099728</v>
      </c>
      <c r="I18" s="47">
        <v>0</v>
      </c>
      <c r="J18" s="47">
        <v>0</v>
      </c>
      <c r="K18" s="47">
        <v>10.640467239134207</v>
      </c>
      <c r="L18" s="47">
        <v>0</v>
      </c>
      <c r="M18" s="47">
        <v>149.05715832182847</v>
      </c>
      <c r="N18" s="47">
        <v>147.9371885591532</v>
      </c>
      <c r="O18" s="47">
        <v>93.43643076474075</v>
      </c>
      <c r="P18" s="47">
        <v>0</v>
      </c>
      <c r="Q18" s="47">
        <v>0</v>
      </c>
      <c r="R18" s="53">
        <v>0</v>
      </c>
      <c r="S18" s="77">
        <v>592.232742525854</v>
      </c>
      <c r="T18" s="55"/>
      <c r="U18" s="49"/>
    </row>
    <row r="19" spans="2:21" ht="12.75">
      <c r="B19" s="42" t="s">
        <v>80</v>
      </c>
      <c r="C19" s="42"/>
      <c r="D19" s="42"/>
      <c r="E19" s="51"/>
      <c r="F19" s="47"/>
      <c r="G19" s="52"/>
      <c r="H19" s="420">
        <v>200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200</v>
      </c>
      <c r="R19" s="53">
        <v>0</v>
      </c>
      <c r="S19" s="77">
        <v>400</v>
      </c>
      <c r="T19" s="55"/>
      <c r="U19" s="49"/>
    </row>
    <row r="20" spans="2:22" ht="12.75">
      <c r="B20" s="57" t="s">
        <v>82</v>
      </c>
      <c r="C20" s="42"/>
      <c r="D20" s="42"/>
      <c r="E20" s="51"/>
      <c r="F20" s="47"/>
      <c r="G20" s="52"/>
      <c r="H20" s="420">
        <v>125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125</v>
      </c>
      <c r="O20" s="47">
        <v>0</v>
      </c>
      <c r="P20" s="47">
        <v>0</v>
      </c>
      <c r="Q20" s="47">
        <v>0</v>
      </c>
      <c r="R20" s="53">
        <v>0</v>
      </c>
      <c r="S20" s="77">
        <v>250</v>
      </c>
      <c r="T20" s="55" t="e">
        <f>SUM(T9:T17)</f>
        <v>#REF!</v>
      </c>
      <c r="U20" s="420"/>
      <c r="V20" s="452"/>
    </row>
    <row r="21" spans="2:21" ht="12.75">
      <c r="B21" s="57"/>
      <c r="C21" s="42"/>
      <c r="D21" s="42"/>
      <c r="E21" s="51"/>
      <c r="F21" s="47"/>
      <c r="G21" s="52"/>
      <c r="H21" s="420"/>
      <c r="I21" s="47"/>
      <c r="J21" s="47"/>
      <c r="K21" s="47"/>
      <c r="L21" s="47"/>
      <c r="M21" s="47"/>
      <c r="N21" s="47"/>
      <c r="O21" s="47"/>
      <c r="P21" s="47"/>
      <c r="Q21" s="47"/>
      <c r="R21" s="53"/>
      <c r="S21" s="77"/>
      <c r="T21" s="55"/>
      <c r="U21" s="49"/>
    </row>
    <row r="22" spans="1:21" s="59" customFormat="1" ht="12.75">
      <c r="A22" s="58"/>
      <c r="B22" s="459"/>
      <c r="D22" s="422" t="s">
        <v>464</v>
      </c>
      <c r="E22" s="61"/>
      <c r="F22" s="62"/>
      <c r="G22" s="457"/>
      <c r="H22" s="460">
        <v>2311.245744790589</v>
      </c>
      <c r="I22" s="62">
        <v>268.00278159208847</v>
      </c>
      <c r="J22" s="62">
        <v>166.98345428759526</v>
      </c>
      <c r="K22" s="62">
        <v>120.08020838864343</v>
      </c>
      <c r="L22" s="62">
        <v>112.00334810079032</v>
      </c>
      <c r="M22" s="62">
        <v>1088.1032927879528</v>
      </c>
      <c r="N22" s="62">
        <v>661.252057430732</v>
      </c>
      <c r="O22" s="62">
        <v>604.4649153337634</v>
      </c>
      <c r="P22" s="62">
        <v>184.23997719662526</v>
      </c>
      <c r="Q22" s="62">
        <v>491.2389209517495</v>
      </c>
      <c r="R22" s="63">
        <v>187.68787898628176</v>
      </c>
      <c r="S22" s="64">
        <v>6195.302579846811</v>
      </c>
      <c r="T22" s="458"/>
      <c r="U22" s="98"/>
    </row>
    <row r="23" spans="2:21" ht="12.75">
      <c r="B23" s="57"/>
      <c r="C23" s="42"/>
      <c r="D23" s="42"/>
      <c r="E23" s="51"/>
      <c r="F23" s="47"/>
      <c r="G23" s="52"/>
      <c r="H23" s="420"/>
      <c r="I23" s="47"/>
      <c r="J23" s="47"/>
      <c r="K23" s="47"/>
      <c r="L23" s="47"/>
      <c r="M23" s="47"/>
      <c r="N23" s="47"/>
      <c r="O23" s="47"/>
      <c r="P23" s="47"/>
      <c r="Q23" s="47"/>
      <c r="R23" s="53"/>
      <c r="S23" s="77"/>
      <c r="T23" s="55"/>
      <c r="U23" s="49"/>
    </row>
    <row r="24" spans="1:21" ht="12.75">
      <c r="A24" s="451" t="s">
        <v>462</v>
      </c>
      <c r="B24" s="57"/>
      <c r="C24" s="42"/>
      <c r="D24" s="42"/>
      <c r="E24" s="51"/>
      <c r="F24" s="47"/>
      <c r="G24" s="52"/>
      <c r="H24" s="420"/>
      <c r="I24" s="47"/>
      <c r="J24" s="47"/>
      <c r="K24" s="47"/>
      <c r="L24" s="47"/>
      <c r="M24" s="47"/>
      <c r="N24" s="47"/>
      <c r="O24" s="47"/>
      <c r="P24" s="47"/>
      <c r="Q24" s="47"/>
      <c r="R24" s="53"/>
      <c r="S24" s="77"/>
      <c r="T24" s="55"/>
      <c r="U24" s="49"/>
    </row>
    <row r="25" spans="2:21" ht="12.75">
      <c r="B25" s="42" t="s">
        <v>78</v>
      </c>
      <c r="C25" s="42"/>
      <c r="D25" s="42"/>
      <c r="E25" s="51">
        <v>675</v>
      </c>
      <c r="F25" s="47">
        <v>225</v>
      </c>
      <c r="G25" s="52"/>
      <c r="H25" s="420"/>
      <c r="I25" s="47"/>
      <c r="J25" s="47"/>
      <c r="K25" s="47"/>
      <c r="L25" s="47"/>
      <c r="M25" s="47"/>
      <c r="N25" s="47"/>
      <c r="O25" s="47"/>
      <c r="P25" s="47"/>
      <c r="Q25" s="47"/>
      <c r="R25" s="53"/>
      <c r="S25" s="77">
        <v>0</v>
      </c>
      <c r="T25" s="55">
        <f aca="true" t="shared" si="0" ref="T25:T33">+S25</f>
        <v>0</v>
      </c>
      <c r="U25" s="49"/>
    </row>
    <row r="26" spans="2:21" ht="12.75">
      <c r="B26" s="42" t="s">
        <v>79</v>
      </c>
      <c r="C26" s="42"/>
      <c r="D26" s="42"/>
      <c r="E26" s="51"/>
      <c r="F26" s="47">
        <v>70</v>
      </c>
      <c r="G26" s="52"/>
      <c r="H26" s="420"/>
      <c r="I26" s="47"/>
      <c r="J26" s="47"/>
      <c r="K26" s="47"/>
      <c r="L26" s="47"/>
      <c r="M26" s="47"/>
      <c r="N26" s="47"/>
      <c r="O26" s="47"/>
      <c r="P26" s="47"/>
      <c r="Q26" s="47"/>
      <c r="R26" s="53"/>
      <c r="S26" s="77">
        <v>0</v>
      </c>
      <c r="T26" s="55">
        <f t="shared" si="0"/>
        <v>0</v>
      </c>
      <c r="U26" s="49"/>
    </row>
    <row r="27" spans="2:21" ht="12.75">
      <c r="B27" s="42" t="s">
        <v>83</v>
      </c>
      <c r="C27" s="42"/>
      <c r="D27" s="42"/>
      <c r="E27" s="51">
        <v>250</v>
      </c>
      <c r="F27" s="47"/>
      <c r="G27" s="52">
        <v>150</v>
      </c>
      <c r="H27" s="420"/>
      <c r="I27" s="47"/>
      <c r="J27" s="47"/>
      <c r="K27" s="47"/>
      <c r="L27" s="47"/>
      <c r="M27" s="47"/>
      <c r="N27" s="47"/>
      <c r="O27" s="47"/>
      <c r="P27" s="47"/>
      <c r="Q27" s="47"/>
      <c r="R27" s="53"/>
      <c r="S27" s="77">
        <v>0</v>
      </c>
      <c r="T27" s="55">
        <f t="shared" si="0"/>
        <v>0</v>
      </c>
      <c r="U27" s="49"/>
    </row>
    <row r="28" spans="2:21" ht="12.75">
      <c r="B28" s="417" t="s">
        <v>463</v>
      </c>
      <c r="C28" s="42"/>
      <c r="D28" s="42"/>
      <c r="E28" s="51"/>
      <c r="F28" s="47"/>
      <c r="G28" s="52"/>
      <c r="H28" s="420"/>
      <c r="I28" s="47"/>
      <c r="J28" s="47"/>
      <c r="K28" s="47"/>
      <c r="L28" s="47"/>
      <c r="M28" s="47"/>
      <c r="N28" s="47"/>
      <c r="O28" s="47"/>
      <c r="P28" s="47"/>
      <c r="Q28" s="47"/>
      <c r="R28" s="53"/>
      <c r="S28" s="77">
        <v>0</v>
      </c>
      <c r="T28" s="55">
        <f t="shared" si="0"/>
        <v>0</v>
      </c>
      <c r="U28" s="49"/>
    </row>
    <row r="29" spans="2:21" ht="12.75">
      <c r="B29" s="42"/>
      <c r="C29" s="42" t="s">
        <v>57</v>
      </c>
      <c r="D29" s="42"/>
      <c r="E29" s="51"/>
      <c r="F29" s="47">
        <v>210</v>
      </c>
      <c r="G29" s="52"/>
      <c r="H29" s="420"/>
      <c r="I29" s="47"/>
      <c r="J29" s="47"/>
      <c r="K29" s="47"/>
      <c r="L29" s="47"/>
      <c r="M29" s="47"/>
      <c r="N29" s="47"/>
      <c r="O29" s="47"/>
      <c r="P29" s="47"/>
      <c r="Q29" s="47"/>
      <c r="R29" s="53"/>
      <c r="S29" s="77">
        <v>0</v>
      </c>
      <c r="T29" s="55">
        <f t="shared" si="0"/>
        <v>0</v>
      </c>
      <c r="U29" s="49"/>
    </row>
    <row r="30" spans="2:21" ht="12.75">
      <c r="B30" s="42"/>
      <c r="C30" s="42" t="s">
        <v>58</v>
      </c>
      <c r="D30" s="42"/>
      <c r="E30" s="51"/>
      <c r="F30" s="47">
        <v>550</v>
      </c>
      <c r="G30" s="52"/>
      <c r="H30" s="420"/>
      <c r="I30" s="47"/>
      <c r="J30" s="47"/>
      <c r="K30" s="47"/>
      <c r="L30" s="47"/>
      <c r="M30" s="47"/>
      <c r="N30" s="47"/>
      <c r="O30" s="47"/>
      <c r="P30" s="47"/>
      <c r="Q30" s="47"/>
      <c r="R30" s="53"/>
      <c r="S30" s="77">
        <v>0</v>
      </c>
      <c r="T30" s="55">
        <f t="shared" si="0"/>
        <v>0</v>
      </c>
      <c r="U30" s="49"/>
    </row>
    <row r="31" spans="2:21" ht="12.75">
      <c r="B31" s="42"/>
      <c r="C31" s="42" t="s">
        <v>56</v>
      </c>
      <c r="D31" s="42"/>
      <c r="E31" s="51"/>
      <c r="F31" s="47">
        <v>870</v>
      </c>
      <c r="G31" s="52"/>
      <c r="H31" s="420"/>
      <c r="I31" s="47"/>
      <c r="J31" s="47"/>
      <c r="K31" s="47"/>
      <c r="L31" s="47"/>
      <c r="M31" s="47"/>
      <c r="N31" s="47"/>
      <c r="O31" s="47"/>
      <c r="P31" s="47"/>
      <c r="Q31" s="47"/>
      <c r="R31" s="53"/>
      <c r="S31" s="77">
        <v>0</v>
      </c>
      <c r="T31" s="55">
        <f t="shared" si="0"/>
        <v>0</v>
      </c>
      <c r="U31" s="49"/>
    </row>
    <row r="32" spans="2:21" ht="12.75">
      <c r="B32" s="42" t="s">
        <v>84</v>
      </c>
      <c r="C32" s="42"/>
      <c r="D32" s="42"/>
      <c r="E32" s="51"/>
      <c r="F32" s="47">
        <v>450</v>
      </c>
      <c r="G32" s="52">
        <v>440</v>
      </c>
      <c r="H32" s="420"/>
      <c r="I32" s="47"/>
      <c r="J32" s="47"/>
      <c r="K32" s="47"/>
      <c r="L32" s="47"/>
      <c r="M32" s="47"/>
      <c r="N32" s="47"/>
      <c r="O32" s="47"/>
      <c r="P32" s="47"/>
      <c r="Q32" s="47"/>
      <c r="R32" s="53"/>
      <c r="S32" s="77">
        <v>0</v>
      </c>
      <c r="T32" s="55">
        <f t="shared" si="0"/>
        <v>0</v>
      </c>
      <c r="U32" s="49"/>
    </row>
    <row r="33" spans="2:21" ht="12.75">
      <c r="B33" s="42"/>
      <c r="C33" s="42"/>
      <c r="D33" s="42"/>
      <c r="E33" s="51"/>
      <c r="F33" s="47"/>
      <c r="G33" s="52"/>
      <c r="H33" s="420"/>
      <c r="I33" s="47"/>
      <c r="J33" s="47"/>
      <c r="K33" s="47"/>
      <c r="L33" s="47"/>
      <c r="M33" s="47"/>
      <c r="N33" s="47"/>
      <c r="O33" s="47"/>
      <c r="P33" s="47"/>
      <c r="Q33" s="47"/>
      <c r="R33" s="53"/>
      <c r="S33" s="77">
        <v>0</v>
      </c>
      <c r="T33" s="55">
        <f t="shared" si="0"/>
        <v>0</v>
      </c>
      <c r="U33" s="49"/>
    </row>
    <row r="34" spans="1:21" s="59" customFormat="1" ht="12.75">
      <c r="A34" s="58"/>
      <c r="D34" s="422" t="s">
        <v>465</v>
      </c>
      <c r="E34" s="61">
        <v>2438.546349846335</v>
      </c>
      <c r="F34" s="62">
        <v>2375</v>
      </c>
      <c r="G34" s="457">
        <v>1229.3795998106568</v>
      </c>
      <c r="H34" s="460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4"/>
      <c r="T34" s="458"/>
      <c r="U34" s="98"/>
    </row>
    <row r="35" spans="2:21" ht="12.75">
      <c r="B35" s="42"/>
      <c r="C35" s="42"/>
      <c r="D35" s="42"/>
      <c r="E35" s="51"/>
      <c r="F35" s="47"/>
      <c r="G35" s="52"/>
      <c r="H35" s="420"/>
      <c r="I35" s="47"/>
      <c r="J35" s="47"/>
      <c r="K35" s="47"/>
      <c r="L35" s="47"/>
      <c r="M35" s="47"/>
      <c r="N35" s="47"/>
      <c r="O35" s="47"/>
      <c r="P35" s="47"/>
      <c r="Q35" s="47"/>
      <c r="R35" s="53"/>
      <c r="S35" s="77"/>
      <c r="T35" s="55"/>
      <c r="U35" s="49"/>
    </row>
    <row r="36" spans="1:21" s="33" customFormat="1" ht="12.75">
      <c r="A36" s="58"/>
      <c r="B36" s="59"/>
      <c r="C36" s="59"/>
      <c r="D36" s="59" t="s">
        <v>85</v>
      </c>
      <c r="E36" s="61">
        <v>2438.546349846335</v>
      </c>
      <c r="F36" s="62">
        <v>2375</v>
      </c>
      <c r="G36" s="457">
        <v>1229.3795998106568</v>
      </c>
      <c r="H36" s="460">
        <v>3951.245744790589</v>
      </c>
      <c r="I36" s="62">
        <v>4550.445649216138</v>
      </c>
      <c r="J36" s="62">
        <v>1986.312057159743</v>
      </c>
      <c r="K36" s="62">
        <v>622.0802083886434</v>
      </c>
      <c r="L36" s="62">
        <v>412.00334810079033</v>
      </c>
      <c r="M36" s="62">
        <v>1588.1032927879528</v>
      </c>
      <c r="N36" s="62">
        <v>661.252057430732</v>
      </c>
      <c r="O36" s="62">
        <v>604.4649153337634</v>
      </c>
      <c r="P36" s="62">
        <v>394.23997719662526</v>
      </c>
      <c r="Q36" s="62">
        <v>491.2389209517495</v>
      </c>
      <c r="R36" s="63">
        <v>187.68787898628176</v>
      </c>
      <c r="S36" s="64">
        <v>15449.07405034301</v>
      </c>
      <c r="T36" s="460"/>
      <c r="U36" s="66"/>
    </row>
    <row r="37" spans="1:20" s="65" customFormat="1" ht="12.75">
      <c r="A37" s="50"/>
      <c r="E37" s="449"/>
      <c r="F37" s="74"/>
      <c r="G37" s="75"/>
      <c r="H37" s="445"/>
      <c r="I37" s="74"/>
      <c r="J37" s="74"/>
      <c r="K37" s="74"/>
      <c r="L37" s="74"/>
      <c r="M37" s="74"/>
      <c r="N37" s="74"/>
      <c r="O37" s="74"/>
      <c r="P37" s="74"/>
      <c r="Q37" s="74"/>
      <c r="R37" s="76"/>
      <c r="S37" s="450"/>
      <c r="T37" s="429"/>
    </row>
    <row r="38" spans="1:21" s="33" customFormat="1" ht="12.75">
      <c r="A38" s="477" t="s">
        <v>466</v>
      </c>
      <c r="B38" s="65"/>
      <c r="C38" s="65"/>
      <c r="E38" s="449"/>
      <c r="F38" s="74"/>
      <c r="G38" s="75"/>
      <c r="H38" s="445"/>
      <c r="I38" s="74"/>
      <c r="J38" s="74"/>
      <c r="K38" s="74"/>
      <c r="L38" s="74"/>
      <c r="M38" s="74"/>
      <c r="N38" s="74"/>
      <c r="O38" s="74"/>
      <c r="P38" s="74"/>
      <c r="Q38" s="74"/>
      <c r="R38" s="76"/>
      <c r="S38" s="450"/>
      <c r="T38" s="429"/>
      <c r="U38" s="66"/>
    </row>
    <row r="39" spans="1:21" s="33" customFormat="1" ht="12.75">
      <c r="A39" s="50"/>
      <c r="B39" s="417" t="s">
        <v>28</v>
      </c>
      <c r="C39" s="65"/>
      <c r="D39" s="65"/>
      <c r="E39" s="449"/>
      <c r="F39" s="74"/>
      <c r="G39" s="75"/>
      <c r="H39" s="445">
        <v>646.9459215541793</v>
      </c>
      <c r="I39" s="74">
        <v>801.6877315125012</v>
      </c>
      <c r="J39" s="74">
        <v>382.4906761790734</v>
      </c>
      <c r="K39" s="74">
        <v>91.15080286545552</v>
      </c>
      <c r="L39" s="74">
        <v>22.124655058044272</v>
      </c>
      <c r="M39" s="74">
        <v>185.49509600335116</v>
      </c>
      <c r="N39" s="74">
        <v>76.70603310860088</v>
      </c>
      <c r="O39" s="74">
        <v>100.9463479230131</v>
      </c>
      <c r="P39" s="74">
        <v>36.39396511351712</v>
      </c>
      <c r="Q39" s="74">
        <v>57.53007186656605</v>
      </c>
      <c r="R39" s="76">
        <v>37.075048662033154</v>
      </c>
      <c r="S39" s="77">
        <v>2438.546349846335</v>
      </c>
      <c r="T39" s="429"/>
      <c r="U39" s="445">
        <f>E36-S39</f>
        <v>0</v>
      </c>
    </row>
    <row r="40" spans="1:21" s="33" customFormat="1" ht="12.75">
      <c r="A40" s="50"/>
      <c r="B40" s="42" t="s">
        <v>29</v>
      </c>
      <c r="C40" s="65"/>
      <c r="D40" s="65"/>
      <c r="E40" s="449"/>
      <c r="F40" s="74"/>
      <c r="G40" s="75"/>
      <c r="H40" s="445">
        <v>630.0870860166337</v>
      </c>
      <c r="I40" s="74">
        <v>780.7964619832513</v>
      </c>
      <c r="J40" s="74">
        <v>372.52330921761774</v>
      </c>
      <c r="K40" s="74">
        <v>88.77549398193663</v>
      </c>
      <c r="L40" s="74">
        <v>21.54810621752846</v>
      </c>
      <c r="M40" s="74">
        <v>180.66125871903986</v>
      </c>
      <c r="N40" s="74">
        <v>74.70714208258005</v>
      </c>
      <c r="O40" s="74">
        <v>98.31577584418841</v>
      </c>
      <c r="P40" s="74">
        <v>35.445570739325866</v>
      </c>
      <c r="Q40" s="74">
        <v>56.03088934180166</v>
      </c>
      <c r="R40" s="76">
        <v>36.108905856096364</v>
      </c>
      <c r="S40" s="77">
        <v>2375</v>
      </c>
      <c r="T40" s="429"/>
      <c r="U40" s="445">
        <f>F36-S40</f>
        <v>0</v>
      </c>
    </row>
    <row r="41" spans="1:22" s="33" customFormat="1" ht="12.75">
      <c r="A41" s="50"/>
      <c r="B41" s="42" t="s">
        <v>31</v>
      </c>
      <c r="C41" s="65"/>
      <c r="D41" s="65"/>
      <c r="E41" s="449"/>
      <c r="F41" s="74"/>
      <c r="G41" s="75"/>
      <c r="H41" s="445">
        <v>326.15419353810194</v>
      </c>
      <c r="I41" s="74">
        <v>404.16641767012476</v>
      </c>
      <c r="J41" s="74">
        <v>192.83055023414587</v>
      </c>
      <c r="K41" s="74">
        <v>45.953171058739635</v>
      </c>
      <c r="L41" s="74">
        <v>11.154021978266385</v>
      </c>
      <c r="M41" s="74">
        <v>93.51632250328537</v>
      </c>
      <c r="N41" s="74">
        <v>38.67092060483374</v>
      </c>
      <c r="O41" s="74">
        <v>50.89154069995898</v>
      </c>
      <c r="P41" s="74">
        <v>18.3478153981359</v>
      </c>
      <c r="Q41" s="74">
        <v>29.003466238340767</v>
      </c>
      <c r="R41" s="76">
        <v>18.69117988672355</v>
      </c>
      <c r="S41" s="77">
        <v>1229.379599810657</v>
      </c>
      <c r="T41" s="429"/>
      <c r="U41" s="445">
        <f>G36-S41</f>
        <v>0</v>
      </c>
      <c r="V41" s="488">
        <f>SUM(U39:U41)</f>
        <v>0</v>
      </c>
    </row>
    <row r="42" spans="1:21" s="33" customFormat="1" ht="13.5" thickBot="1">
      <c r="A42" s="50"/>
      <c r="B42" s="65"/>
      <c r="C42" s="65"/>
      <c r="D42" s="65"/>
      <c r="E42" s="449"/>
      <c r="F42" s="74"/>
      <c r="G42" s="75"/>
      <c r="H42" s="445"/>
      <c r="I42" s="74"/>
      <c r="J42" s="74"/>
      <c r="K42" s="74"/>
      <c r="L42" s="74"/>
      <c r="M42" s="74"/>
      <c r="N42" s="74"/>
      <c r="O42" s="74"/>
      <c r="P42" s="74"/>
      <c r="Q42" s="74"/>
      <c r="R42" s="76"/>
      <c r="S42" s="450"/>
      <c r="T42" s="429"/>
      <c r="U42" s="66"/>
    </row>
    <row r="43" spans="1:22" s="475" customFormat="1" ht="13.5" thickBot="1">
      <c r="A43" s="79"/>
      <c r="B43" s="471"/>
      <c r="C43" s="471"/>
      <c r="D43" s="471" t="s">
        <v>86</v>
      </c>
      <c r="E43" s="474"/>
      <c r="F43" s="472"/>
      <c r="G43" s="486"/>
      <c r="H43" s="481">
        <v>5554.432945899504</v>
      </c>
      <c r="I43" s="472">
        <v>6537.096260382015</v>
      </c>
      <c r="J43" s="472">
        <v>2934.15659279058</v>
      </c>
      <c r="K43" s="472">
        <v>847.9596762947751</v>
      </c>
      <c r="L43" s="472">
        <v>466.83013135462943</v>
      </c>
      <c r="M43" s="472">
        <v>2047.7759700136291</v>
      </c>
      <c r="N43" s="472">
        <v>851.3361532267467</v>
      </c>
      <c r="O43" s="472">
        <v>854.618579800924</v>
      </c>
      <c r="P43" s="472">
        <v>484.42732844760417</v>
      </c>
      <c r="Q43" s="472">
        <v>633.803348398458</v>
      </c>
      <c r="R43" s="473">
        <v>279.56301339113486</v>
      </c>
      <c r="S43" s="82">
        <v>21492</v>
      </c>
      <c r="U43" s="476"/>
      <c r="V43" s="489"/>
    </row>
    <row r="44" spans="2:21" ht="12.75">
      <c r="B44" s="42"/>
      <c r="C44" s="42"/>
      <c r="D44" s="42"/>
      <c r="E44" s="51"/>
      <c r="F44" s="47"/>
      <c r="G44" s="52"/>
      <c r="H44" s="431"/>
      <c r="I44" s="431"/>
      <c r="J44" s="431"/>
      <c r="K44" s="431"/>
      <c r="L44" s="431"/>
      <c r="M44" s="431"/>
      <c r="N44" s="431"/>
      <c r="O44" s="431"/>
      <c r="P44" s="431"/>
      <c r="Q44" s="490"/>
      <c r="R44" s="491"/>
      <c r="S44" s="492"/>
      <c r="T44" s="42"/>
      <c r="U44" s="49"/>
    </row>
    <row r="45" spans="1:21" ht="12.75">
      <c r="A45" s="50" t="s">
        <v>87</v>
      </c>
      <c r="B45" s="42"/>
      <c r="C45" s="42"/>
      <c r="D45" s="42"/>
      <c r="E45" s="51"/>
      <c r="F45" s="47"/>
      <c r="G45" s="52"/>
      <c r="H45" s="420"/>
      <c r="I45" s="47"/>
      <c r="J45" s="47"/>
      <c r="K45" s="47"/>
      <c r="L45" s="47"/>
      <c r="M45" s="47"/>
      <c r="N45" s="47"/>
      <c r="O45" s="47"/>
      <c r="P45" s="47"/>
      <c r="Q45" s="47"/>
      <c r="R45" s="53"/>
      <c r="S45" s="77">
        <v>0</v>
      </c>
      <c r="T45" s="42"/>
      <c r="U45" s="49"/>
    </row>
    <row r="46" spans="2:21" ht="12.75">
      <c r="B46" s="42"/>
      <c r="C46" s="42"/>
      <c r="D46" s="42"/>
      <c r="E46" s="51"/>
      <c r="F46" s="47"/>
      <c r="G46" s="52"/>
      <c r="H46" s="420"/>
      <c r="I46" s="47"/>
      <c r="J46" s="47"/>
      <c r="K46" s="47"/>
      <c r="L46" s="47"/>
      <c r="M46" s="47"/>
      <c r="N46" s="47"/>
      <c r="O46" s="47"/>
      <c r="P46" s="47"/>
      <c r="Q46" s="47"/>
      <c r="R46" s="53"/>
      <c r="S46" s="77">
        <v>0</v>
      </c>
      <c r="T46" s="42"/>
      <c r="U46" s="49"/>
    </row>
    <row r="47" spans="2:21" ht="12.75">
      <c r="B47" s="42" t="s">
        <v>88</v>
      </c>
      <c r="C47" s="42"/>
      <c r="D47" s="42"/>
      <c r="E47" s="51"/>
      <c r="F47" s="47"/>
      <c r="G47" s="52"/>
      <c r="H47" s="420"/>
      <c r="I47" s="47"/>
      <c r="J47" s="47"/>
      <c r="K47" s="47"/>
      <c r="L47" s="47"/>
      <c r="M47" s="47"/>
      <c r="N47" s="47"/>
      <c r="O47" s="47"/>
      <c r="P47" s="47"/>
      <c r="Q47" s="47"/>
      <c r="R47" s="53"/>
      <c r="S47" s="77">
        <v>0</v>
      </c>
      <c r="T47" s="42"/>
      <c r="U47" s="49"/>
    </row>
    <row r="48" spans="2:21" ht="16.5" customHeight="1">
      <c r="B48" s="417" t="s">
        <v>389</v>
      </c>
      <c r="C48" s="42"/>
      <c r="D48" s="42"/>
      <c r="E48" s="51"/>
      <c r="F48" s="47"/>
      <c r="G48" s="52"/>
      <c r="H48" s="420"/>
      <c r="I48" s="47">
        <v>2815</v>
      </c>
      <c r="J48" s="47"/>
      <c r="K48" s="47">
        <v>357</v>
      </c>
      <c r="L48" s="47"/>
      <c r="M48" s="47"/>
      <c r="N48" s="47"/>
      <c r="O48" s="47"/>
      <c r="P48" s="47"/>
      <c r="Q48" s="47"/>
      <c r="R48" s="53"/>
      <c r="S48" s="77">
        <v>3172</v>
      </c>
      <c r="T48" s="42"/>
      <c r="U48" s="49"/>
    </row>
    <row r="49" spans="1:21" s="3" customFormat="1" ht="12.75">
      <c r="A49" s="68"/>
      <c r="B49" s="23" t="s">
        <v>89</v>
      </c>
      <c r="C49" s="23"/>
      <c r="D49" s="23"/>
      <c r="E49" s="71"/>
      <c r="F49" s="69"/>
      <c r="G49" s="70"/>
      <c r="H49" s="428">
        <v>1125</v>
      </c>
      <c r="I49" s="69"/>
      <c r="J49" s="69"/>
      <c r="K49" s="69"/>
      <c r="L49" s="69"/>
      <c r="M49" s="69"/>
      <c r="N49" s="69">
        <v>125</v>
      </c>
      <c r="O49" s="69"/>
      <c r="P49" s="69"/>
      <c r="Q49" s="69"/>
      <c r="R49" s="72"/>
      <c r="S49" s="77">
        <v>1250</v>
      </c>
      <c r="T49" s="23"/>
      <c r="U49" s="73"/>
    </row>
    <row r="50" spans="2:21" ht="12.75">
      <c r="B50" s="417" t="s">
        <v>468</v>
      </c>
      <c r="C50" s="42"/>
      <c r="D50" s="42"/>
      <c r="E50" s="51"/>
      <c r="F50" s="47"/>
      <c r="G50" s="52"/>
      <c r="H50" s="420"/>
      <c r="I50" s="47"/>
      <c r="J50" s="47"/>
      <c r="K50" s="47"/>
      <c r="L50" s="47">
        <v>300</v>
      </c>
      <c r="M50" s="47"/>
      <c r="N50" s="47"/>
      <c r="O50" s="47"/>
      <c r="P50" s="47"/>
      <c r="Q50" s="47"/>
      <c r="R50" s="53"/>
      <c r="S50" s="77">
        <v>300</v>
      </c>
      <c r="T50" s="42"/>
      <c r="U50" s="49"/>
    </row>
    <row r="51" spans="2:21" ht="12.75">
      <c r="B51" s="417" t="s">
        <v>469</v>
      </c>
      <c r="C51" s="42"/>
      <c r="D51" s="42"/>
      <c r="E51" s="51"/>
      <c r="F51" s="47"/>
      <c r="G51" s="52"/>
      <c r="H51" s="420"/>
      <c r="I51" s="47"/>
      <c r="J51" s="47"/>
      <c r="K51" s="47"/>
      <c r="L51" s="47"/>
      <c r="M51" s="47">
        <v>100</v>
      </c>
      <c r="N51" s="47"/>
      <c r="O51" s="47"/>
      <c r="P51" s="47"/>
      <c r="Q51" s="47"/>
      <c r="R51" s="53"/>
      <c r="S51" s="77">
        <v>100</v>
      </c>
      <c r="T51" s="42"/>
      <c r="U51" s="49"/>
    </row>
    <row r="52" spans="1:21" s="33" customFormat="1" ht="12.75">
      <c r="A52" s="50" t="s">
        <v>68</v>
      </c>
      <c r="B52" s="65"/>
      <c r="C52" s="65"/>
      <c r="D52" s="65"/>
      <c r="E52" s="449"/>
      <c r="F52" s="74"/>
      <c r="G52" s="75"/>
      <c r="H52" s="445">
        <v>1125</v>
      </c>
      <c r="I52" s="445">
        <v>2815</v>
      </c>
      <c r="J52" s="445">
        <v>0</v>
      </c>
      <c r="K52" s="445">
        <v>357</v>
      </c>
      <c r="L52" s="445">
        <v>300</v>
      </c>
      <c r="M52" s="445">
        <v>100</v>
      </c>
      <c r="N52" s="445">
        <v>125</v>
      </c>
      <c r="O52" s="445">
        <v>0</v>
      </c>
      <c r="P52" s="445">
        <v>0</v>
      </c>
      <c r="Q52" s="445">
        <v>0</v>
      </c>
      <c r="R52" s="445">
        <v>0</v>
      </c>
      <c r="S52" s="77">
        <v>4822</v>
      </c>
      <c r="T52" s="78"/>
      <c r="U52" s="66"/>
    </row>
    <row r="53" spans="2:21" ht="13.5" thickBot="1">
      <c r="B53" s="42"/>
      <c r="C53" s="42"/>
      <c r="D53" s="42"/>
      <c r="E53" s="51"/>
      <c r="F53" s="47"/>
      <c r="G53" s="52"/>
      <c r="H53" s="482"/>
      <c r="I53" s="463"/>
      <c r="J53" s="463"/>
      <c r="K53" s="463"/>
      <c r="L53" s="463"/>
      <c r="M53" s="463"/>
      <c r="N53" s="463"/>
      <c r="O53" s="463"/>
      <c r="P53" s="463"/>
      <c r="Q53" s="463"/>
      <c r="R53" s="467"/>
      <c r="S53" s="77"/>
      <c r="T53" s="42"/>
      <c r="U53" s="49"/>
    </row>
    <row r="54" spans="1:21" s="33" customFormat="1" ht="13.5" thickBot="1">
      <c r="A54" s="79"/>
      <c r="B54" s="25"/>
      <c r="C54" s="25"/>
      <c r="D54" s="25" t="s">
        <v>69</v>
      </c>
      <c r="E54" s="487">
        <v>0</v>
      </c>
      <c r="F54" s="80">
        <v>0</v>
      </c>
      <c r="G54" s="81">
        <v>0</v>
      </c>
      <c r="H54" s="430">
        <v>4429.432945899504</v>
      </c>
      <c r="I54" s="80">
        <v>3722.0962603820153</v>
      </c>
      <c r="J54" s="80">
        <v>2934.15659279058</v>
      </c>
      <c r="K54" s="80">
        <v>490.95967629477514</v>
      </c>
      <c r="L54" s="80">
        <v>166.83013135462943</v>
      </c>
      <c r="M54" s="80">
        <v>1947.7759700136291</v>
      </c>
      <c r="N54" s="80">
        <v>726.3361532267467</v>
      </c>
      <c r="O54" s="80">
        <v>854.618579800924</v>
      </c>
      <c r="P54" s="80">
        <v>484.42732844760417</v>
      </c>
      <c r="Q54" s="80">
        <v>633.803348398458</v>
      </c>
      <c r="R54" s="468">
        <v>279.56301339113486</v>
      </c>
      <c r="S54" s="82">
        <v>16670</v>
      </c>
      <c r="T54" s="35"/>
      <c r="U54" s="40"/>
    </row>
    <row r="55" spans="1:19" ht="12.75">
      <c r="A55"/>
      <c r="S55"/>
    </row>
    <row r="56" spans="1:19" ht="12.75">
      <c r="A56"/>
      <c r="S56"/>
    </row>
    <row r="57" spans="1:19" ht="12.75">
      <c r="A57"/>
      <c r="S57"/>
    </row>
    <row r="58" spans="1:19" ht="12.75">
      <c r="A58"/>
      <c r="S58"/>
    </row>
    <row r="59" spans="1:19" ht="12.75">
      <c r="A59"/>
      <c r="S59"/>
    </row>
    <row r="60" spans="1:19" ht="12.75">
      <c r="A60"/>
      <c r="S60"/>
    </row>
    <row r="61" spans="1:19" ht="12.75">
      <c r="A61"/>
      <c r="S61"/>
    </row>
    <row r="62" spans="1:19" ht="12.75">
      <c r="A62"/>
      <c r="S62"/>
    </row>
    <row r="63" spans="1:19" ht="12.75">
      <c r="A63"/>
      <c r="S63"/>
    </row>
    <row r="64" spans="1:19" ht="12.75">
      <c r="A64"/>
      <c r="S64"/>
    </row>
    <row r="65" spans="1:19" ht="12.75">
      <c r="A65"/>
      <c r="S65"/>
    </row>
  </sheetData>
  <mergeCells count="1">
    <mergeCell ref="E1:G1"/>
  </mergeCells>
  <printOptions horizontalCentered="1" verticalCentered="1"/>
  <pageMargins left="0.35433070866141736" right="0.35433070866141736" top="0.5905511811023623" bottom="0.3937007874015748" header="0.31496062992125984" footer="0.5118110236220472"/>
  <pageSetup fitToHeight="1" fitToWidth="1" horizontalDpi="600" verticalDpi="600" orientation="landscape" paperSize="9" scale="71" r:id="rId1"/>
  <headerFooter alignWithMargins="0">
    <oddHeader>&amp;C&amp;"Arial,Bold"&amp;14TABLE 2 : Expense and funding allocation by cost center
2001 Budget</oddHeader>
    <oddFooter>&amp;R&amp;F  &amp;A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3"/>
  <sheetViews>
    <sheetView workbookViewId="0" topLeftCell="A1">
      <pane xSplit="3615" ySplit="2415" topLeftCell="AN38" activePane="bottomRight" state="split"/>
      <selection pane="topLeft" activeCell="A1" sqref="A1"/>
      <selection pane="topRight" activeCell="AH1" sqref="AH1:AH16384"/>
      <selection pane="bottomLeft" activeCell="A30" sqref="A30:IV30"/>
      <selection pane="bottomRight" activeCell="AJ46" sqref="AJ46"/>
    </sheetView>
  </sheetViews>
  <sheetFormatPr defaultColWidth="9.140625" defaultRowHeight="12.75" outlineLevelCol="1"/>
  <cols>
    <col min="1" max="1" width="28.7109375" style="3" customWidth="1"/>
    <col min="2" max="2" width="5.8515625" style="3" customWidth="1"/>
    <col min="3" max="3" width="5.8515625" style="3" bestFit="1" customWidth="1"/>
    <col min="4" max="4" width="4.8515625" style="3" bestFit="1" customWidth="1"/>
    <col min="5" max="5" width="5.8515625" style="3" bestFit="1" customWidth="1"/>
    <col min="6" max="6" width="4.8515625" style="3" bestFit="1" customWidth="1"/>
    <col min="7" max="7" width="4.421875" style="3" bestFit="1" customWidth="1"/>
    <col min="8" max="8" width="6.28125" style="3" bestFit="1" customWidth="1"/>
    <col min="9" max="9" width="4.8515625" style="3" bestFit="1" customWidth="1"/>
    <col min="10" max="11" width="4.421875" style="3" bestFit="1" customWidth="1"/>
    <col min="12" max="12" width="4.7109375" style="3" bestFit="1" customWidth="1"/>
    <col min="13" max="13" width="4.8515625" style="3" bestFit="1" customWidth="1"/>
    <col min="14" max="14" width="6.28125" style="3" bestFit="1" customWidth="1"/>
    <col min="15" max="15" width="4.8515625" style="3" bestFit="1" customWidth="1"/>
    <col min="16" max="17" width="4.421875" style="3" bestFit="1" customWidth="1"/>
    <col min="18" max="18" width="5.8515625" style="3" bestFit="1" customWidth="1"/>
    <col min="19" max="19" width="4.8515625" style="3" bestFit="1" customWidth="1"/>
    <col min="20" max="20" width="6.28125" style="3" bestFit="1" customWidth="1"/>
    <col min="21" max="21" width="4.7109375" style="3" bestFit="1" customWidth="1"/>
    <col min="22" max="22" width="5.8515625" style="3" bestFit="1" customWidth="1"/>
    <col min="23" max="23" width="6.140625" style="3" bestFit="1" customWidth="1"/>
    <col min="24" max="24" width="5.8515625" style="3" bestFit="1" customWidth="1"/>
    <col min="25" max="25" width="4.8515625" style="3" bestFit="1" customWidth="1"/>
    <col min="26" max="26" width="7.57421875" style="3" bestFit="1" customWidth="1"/>
    <col min="27" max="27" width="4.421875" style="3" bestFit="1" customWidth="1"/>
    <col min="28" max="28" width="4.57421875" style="3" customWidth="1"/>
    <col min="29" max="29" width="4.421875" style="3" bestFit="1" customWidth="1"/>
    <col min="30" max="30" width="7.28125" style="22" customWidth="1"/>
    <col min="31" max="35" width="7.28125" style="22" customWidth="1" outlineLevel="1"/>
    <col min="36" max="36" width="7.7109375" style="3" bestFit="1" customWidth="1"/>
    <col min="37" max="37" width="7.28125" style="3" bestFit="1" customWidth="1"/>
    <col min="38" max="38" width="6.140625" style="3" customWidth="1"/>
    <col min="39" max="39" width="5.140625" style="3" bestFit="1" customWidth="1"/>
    <col min="40" max="40" width="5.140625" style="3" customWidth="1"/>
    <col min="41" max="41" width="7.140625" style="3" customWidth="1"/>
    <col min="42" max="42" width="5.7109375" style="3" customWidth="1"/>
    <col min="43" max="43" width="6.28125" style="3" bestFit="1" customWidth="1"/>
    <col min="44" max="44" width="7.28125" style="3" bestFit="1" customWidth="1"/>
    <col min="45" max="45" width="6.28125" style="3" bestFit="1" customWidth="1"/>
    <col min="46" max="47" width="6.140625" style="3" bestFit="1" customWidth="1"/>
    <col min="48" max="48" width="7.7109375" style="3" customWidth="1"/>
    <col min="49" max="49" width="6.8515625" style="3" bestFit="1" customWidth="1"/>
    <col min="50" max="50" width="8.7109375" style="3" bestFit="1" customWidth="1"/>
    <col min="51" max="51" width="3.421875" style="23" bestFit="1" customWidth="1"/>
    <col min="52" max="52" width="8.421875" style="3" bestFit="1" customWidth="1"/>
    <col min="53" max="53" width="9.140625" style="3" bestFit="1" customWidth="1"/>
    <col min="54" max="54" width="30.7109375" style="3" customWidth="1"/>
    <col min="55" max="16384" width="4.7109375" style="3" customWidth="1"/>
  </cols>
  <sheetData>
    <row r="1" spans="1:54" s="293" customFormat="1" ht="84.75" customHeight="1">
      <c r="A1" s="286" t="s">
        <v>0</v>
      </c>
      <c r="B1" s="287" t="s">
        <v>19</v>
      </c>
      <c r="C1" s="287" t="s">
        <v>9</v>
      </c>
      <c r="D1" s="287" t="s">
        <v>13</v>
      </c>
      <c r="E1" s="287" t="s">
        <v>6</v>
      </c>
      <c r="F1" s="287" t="s">
        <v>16</v>
      </c>
      <c r="G1" s="287" t="s">
        <v>17</v>
      </c>
      <c r="H1" s="287" t="s">
        <v>3</v>
      </c>
      <c r="I1" s="287" t="s">
        <v>5</v>
      </c>
      <c r="J1" s="287" t="s">
        <v>22</v>
      </c>
      <c r="K1" s="287" t="s">
        <v>126</v>
      </c>
      <c r="L1" s="287" t="s">
        <v>4</v>
      </c>
      <c r="M1" s="287" t="s">
        <v>15</v>
      </c>
      <c r="N1" s="288" t="s">
        <v>12</v>
      </c>
      <c r="O1" s="287" t="s">
        <v>20</v>
      </c>
      <c r="P1" s="287" t="s">
        <v>23</v>
      </c>
      <c r="Q1" s="287" t="s">
        <v>125</v>
      </c>
      <c r="R1" s="287" t="s">
        <v>10</v>
      </c>
      <c r="S1" s="287" t="s">
        <v>11</v>
      </c>
      <c r="T1" s="287" t="s">
        <v>2</v>
      </c>
      <c r="U1" s="287" t="s">
        <v>18</v>
      </c>
      <c r="V1" s="287" t="s">
        <v>8</v>
      </c>
      <c r="W1" s="287" t="s">
        <v>1</v>
      </c>
      <c r="X1" s="287" t="s">
        <v>7</v>
      </c>
      <c r="Y1" s="287" t="s">
        <v>14</v>
      </c>
      <c r="Z1" s="287" t="s">
        <v>24</v>
      </c>
      <c r="AA1" s="287" t="s">
        <v>21</v>
      </c>
      <c r="AB1" s="287" t="s">
        <v>308</v>
      </c>
      <c r="AC1" s="287" t="s">
        <v>309</v>
      </c>
      <c r="AD1" s="289" t="s">
        <v>25</v>
      </c>
      <c r="AE1" s="289" t="s">
        <v>403</v>
      </c>
      <c r="AF1" s="289" t="s">
        <v>404</v>
      </c>
      <c r="AG1" s="289" t="s">
        <v>66</v>
      </c>
      <c r="AH1" s="415"/>
      <c r="AI1" s="415" t="s">
        <v>406</v>
      </c>
      <c r="AJ1" s="287" t="s">
        <v>26</v>
      </c>
      <c r="AK1" s="287" t="s">
        <v>27</v>
      </c>
      <c r="AL1" s="287" t="s">
        <v>127</v>
      </c>
      <c r="AM1" s="287" t="s">
        <v>37</v>
      </c>
      <c r="AN1" s="287" t="s">
        <v>471</v>
      </c>
      <c r="AO1" s="287" t="s">
        <v>28</v>
      </c>
      <c r="AP1" s="287" t="s">
        <v>29</v>
      </c>
      <c r="AQ1" s="287" t="s">
        <v>31</v>
      </c>
      <c r="AR1" s="287" t="s">
        <v>30</v>
      </c>
      <c r="AS1" s="287" t="s">
        <v>32</v>
      </c>
      <c r="AT1" s="287" t="s">
        <v>33</v>
      </c>
      <c r="AU1" s="290" t="s">
        <v>34</v>
      </c>
      <c r="AV1" s="287" t="s">
        <v>35</v>
      </c>
      <c r="AW1" s="287" t="s">
        <v>36</v>
      </c>
      <c r="AX1" s="415" t="s">
        <v>386</v>
      </c>
      <c r="AY1" s="291"/>
      <c r="AZ1" s="289" t="s">
        <v>38</v>
      </c>
      <c r="BA1" s="292" t="s">
        <v>39</v>
      </c>
      <c r="BB1" s="2" t="s">
        <v>40</v>
      </c>
    </row>
    <row r="2" spans="1:54" ht="12.75">
      <c r="A2" s="11" t="s">
        <v>395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>
        <f>+'BUDGET 2001'!M89+'BUDGET 2001'!M97</f>
        <v>1666.8</v>
      </c>
      <c r="AE2" s="5"/>
      <c r="AF2" s="5"/>
      <c r="AG2" s="5"/>
      <c r="AH2" s="5"/>
      <c r="AI2" s="5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5">
        <f aca="true" t="shared" si="0" ref="AX2:AX44">SUM(AJ2:AW2)+AD2</f>
        <v>1666.8</v>
      </c>
      <c r="AY2" s="1"/>
      <c r="AZ2" s="6"/>
      <c r="BA2" s="7" t="e">
        <f>AX2/AZ2</f>
        <v>#DIV/0!</v>
      </c>
      <c r="BB2" s="6"/>
    </row>
    <row r="3" spans="1:54" ht="12.75">
      <c r="A3" s="11" t="s">
        <v>397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>
        <f>SUM(B3:AC3)</f>
        <v>0</v>
      </c>
      <c r="AE3" s="5">
        <f>100/($AJ$3+$AJ$8+$AJ$19+$AJ$27)*(AJ3)</f>
        <v>49.483082706766915</v>
      </c>
      <c r="AF3" s="5">
        <f>0.2*(AJ3)</f>
        <v>421.20000000000005</v>
      </c>
      <c r="AG3" s="5">
        <f>AJ3-AF3-AE3</f>
        <v>1635.316917293233</v>
      </c>
      <c r="AH3" s="5"/>
      <c r="AI3" s="5">
        <v>272</v>
      </c>
      <c r="AJ3" s="4">
        <f>+'BUDGET 2001'!M68</f>
        <v>2106</v>
      </c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>
        <f t="shared" si="0"/>
        <v>2106</v>
      </c>
      <c r="AY3" s="1"/>
      <c r="AZ3" s="6"/>
      <c r="BA3" s="7"/>
      <c r="BB3" s="6"/>
    </row>
    <row r="4" spans="1:54" ht="12.75">
      <c r="A4" s="11" t="s">
        <v>396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5">
        <f>SUM(B4:AC4)</f>
        <v>0</v>
      </c>
      <c r="AE4" s="424"/>
      <c r="AF4" s="424"/>
      <c r="AG4" s="5">
        <f>AH4+AI4+AJ4-AF4-AE4</f>
        <v>0</v>
      </c>
      <c r="AH4" s="424"/>
      <c r="AI4" s="424"/>
      <c r="AK4" s="5">
        <f>+'BUDGET 2001'!M75+'BUDGET 2001'!M96</f>
        <v>1019.92</v>
      </c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5">
        <f t="shared" si="0"/>
        <v>1019.92</v>
      </c>
      <c r="AY4" s="1"/>
      <c r="AZ4" s="6"/>
      <c r="BA4" s="7"/>
      <c r="BB4" s="6"/>
    </row>
    <row r="5" spans="1:54" ht="12.75">
      <c r="A5" s="11" t="s">
        <v>398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>
        <f>SUM(B5:AC5)</f>
        <v>0</v>
      </c>
      <c r="AE5" s="5"/>
      <c r="AF5" s="5"/>
      <c r="AG5" s="5">
        <f>AH5+AI5+AJ5-AF5-AE5</f>
        <v>0</v>
      </c>
      <c r="AH5" s="5"/>
      <c r="AI5" s="5"/>
      <c r="AJ5" s="4"/>
      <c r="AK5" s="4"/>
      <c r="AL5" s="4">
        <f>+'BUDGET 2001'!M82</f>
        <v>0</v>
      </c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">
        <f t="shared" si="0"/>
        <v>0</v>
      </c>
      <c r="AY5" s="1"/>
      <c r="AZ5" s="6"/>
      <c r="BA5" s="7"/>
      <c r="BB5" s="6"/>
    </row>
    <row r="6" spans="1:54" ht="12.75">
      <c r="A6" s="4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>
        <f>SUM(B6:AC6)</f>
        <v>0</v>
      </c>
      <c r="AE6" s="5"/>
      <c r="AF6" s="5"/>
      <c r="AG6" s="5">
        <f>AH6+AI6+AJ6-AF6-AE6</f>
        <v>0</v>
      </c>
      <c r="AH6" s="5"/>
      <c r="AI6" s="5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5">
        <f t="shared" si="0"/>
        <v>0</v>
      </c>
      <c r="AY6" s="1"/>
      <c r="AZ6" s="6"/>
      <c r="BA6" s="7" t="e">
        <f aca="true" t="shared" si="1" ref="BA6:BA52">AX6/AZ6</f>
        <v>#DIV/0!</v>
      </c>
      <c r="BB6" s="6"/>
    </row>
    <row r="7" spans="1:54" ht="12.75">
      <c r="A7" s="8" t="s">
        <v>42</v>
      </c>
      <c r="B7" s="5">
        <f aca="true" t="shared" si="2" ref="B7:AA7">SUM(B2:B6)</f>
        <v>0</v>
      </c>
      <c r="C7" s="5">
        <f t="shared" si="2"/>
        <v>0</v>
      </c>
      <c r="D7" s="5">
        <f t="shared" si="2"/>
        <v>0</v>
      </c>
      <c r="E7" s="5">
        <f t="shared" si="2"/>
        <v>0</v>
      </c>
      <c r="F7" s="5">
        <f t="shared" si="2"/>
        <v>0</v>
      </c>
      <c r="G7" s="5">
        <f t="shared" si="2"/>
        <v>0</v>
      </c>
      <c r="H7" s="5">
        <f t="shared" si="2"/>
        <v>0</v>
      </c>
      <c r="I7" s="5">
        <f t="shared" si="2"/>
        <v>0</v>
      </c>
      <c r="J7" s="5">
        <f t="shared" si="2"/>
        <v>0</v>
      </c>
      <c r="K7" s="5">
        <f t="shared" si="2"/>
        <v>0</v>
      </c>
      <c r="L7" s="5">
        <f t="shared" si="2"/>
        <v>0</v>
      </c>
      <c r="M7" s="5">
        <f t="shared" si="2"/>
        <v>0</v>
      </c>
      <c r="N7" s="5">
        <f t="shared" si="2"/>
        <v>0</v>
      </c>
      <c r="O7" s="5">
        <f t="shared" si="2"/>
        <v>0</v>
      </c>
      <c r="P7" s="5">
        <f t="shared" si="2"/>
        <v>0</v>
      </c>
      <c r="Q7" s="5">
        <f t="shared" si="2"/>
        <v>0</v>
      </c>
      <c r="R7" s="5">
        <f t="shared" si="2"/>
        <v>0</v>
      </c>
      <c r="S7" s="5">
        <f t="shared" si="2"/>
        <v>0</v>
      </c>
      <c r="T7" s="5">
        <f t="shared" si="2"/>
        <v>0</v>
      </c>
      <c r="U7" s="5">
        <f t="shared" si="2"/>
        <v>0</v>
      </c>
      <c r="V7" s="5">
        <f t="shared" si="2"/>
        <v>0</v>
      </c>
      <c r="W7" s="5">
        <f t="shared" si="2"/>
        <v>0</v>
      </c>
      <c r="X7" s="5">
        <f>SUM(X2:X6)</f>
        <v>0</v>
      </c>
      <c r="Y7" s="5">
        <f>SUM(Y2:Y6)</f>
        <v>0</v>
      </c>
      <c r="Z7" s="5">
        <f t="shared" si="2"/>
        <v>0</v>
      </c>
      <c r="AA7" s="5">
        <f t="shared" si="2"/>
        <v>0</v>
      </c>
      <c r="AB7" s="5">
        <f aca="true" t="shared" si="3" ref="AB7:AW7">SUM(AB2:AB6)</f>
        <v>0</v>
      </c>
      <c r="AC7" s="5">
        <f t="shared" si="3"/>
        <v>0</v>
      </c>
      <c r="AD7" s="5">
        <f t="shared" si="3"/>
        <v>1666.8</v>
      </c>
      <c r="AE7" s="5">
        <f t="shared" si="3"/>
        <v>49.483082706766915</v>
      </c>
      <c r="AF7" s="5">
        <f t="shared" si="3"/>
        <v>421.20000000000005</v>
      </c>
      <c r="AG7" s="5">
        <f t="shared" si="3"/>
        <v>1635.316917293233</v>
      </c>
      <c r="AH7" s="5"/>
      <c r="AI7" s="5">
        <f t="shared" si="3"/>
        <v>272</v>
      </c>
      <c r="AJ7" s="5">
        <f t="shared" si="3"/>
        <v>2106</v>
      </c>
      <c r="AK7" s="5">
        <f t="shared" si="3"/>
        <v>1019.92</v>
      </c>
      <c r="AL7" s="5">
        <f t="shared" si="3"/>
        <v>0</v>
      </c>
      <c r="AM7" s="5">
        <f t="shared" si="3"/>
        <v>0</v>
      </c>
      <c r="AN7" s="5">
        <f t="shared" si="3"/>
        <v>0</v>
      </c>
      <c r="AO7" s="5">
        <f t="shared" si="3"/>
        <v>0</v>
      </c>
      <c r="AP7" s="5">
        <f t="shared" si="3"/>
        <v>0</v>
      </c>
      <c r="AQ7" s="5">
        <f t="shared" si="3"/>
        <v>0</v>
      </c>
      <c r="AR7" s="5">
        <f t="shared" si="3"/>
        <v>0</v>
      </c>
      <c r="AS7" s="5">
        <f t="shared" si="3"/>
        <v>0</v>
      </c>
      <c r="AT7" s="5">
        <f t="shared" si="3"/>
        <v>0</v>
      </c>
      <c r="AU7" s="5">
        <f t="shared" si="3"/>
        <v>0</v>
      </c>
      <c r="AV7" s="5">
        <f t="shared" si="3"/>
        <v>0</v>
      </c>
      <c r="AW7" s="5">
        <f t="shared" si="3"/>
        <v>0</v>
      </c>
      <c r="AX7" s="5">
        <f t="shared" si="0"/>
        <v>4792.72</v>
      </c>
      <c r="AY7" s="1"/>
      <c r="AZ7" s="9"/>
      <c r="BA7" s="10" t="e">
        <f t="shared" si="1"/>
        <v>#DIV/0!</v>
      </c>
      <c r="BB7" s="6"/>
    </row>
    <row r="8" spans="1:54" ht="12.75">
      <c r="A8" s="284" t="s">
        <v>405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>
        <f>+'Salaries Dpt'!J42</f>
        <v>0</v>
      </c>
      <c r="AE8" s="5">
        <f>100/($AJ$3+$AJ$8+$AJ$19+$AJ$27)*(AJ8)</f>
        <v>22.086466165413533</v>
      </c>
      <c r="AF8" s="5">
        <f>0.2*AJ8</f>
        <v>188</v>
      </c>
      <c r="AG8" s="5">
        <f>AJ8-AF8-AE8</f>
        <v>729.9135338345865</v>
      </c>
      <c r="AH8" s="5"/>
      <c r="AI8" s="5"/>
      <c r="AJ8" s="5">
        <f>+'BUDGET 2001'!M69</f>
        <v>940</v>
      </c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>
        <f t="shared" si="0"/>
        <v>940</v>
      </c>
      <c r="AY8" s="1"/>
      <c r="AZ8" s="9"/>
      <c r="BA8" s="10"/>
      <c r="BB8" s="6"/>
    </row>
    <row r="9" spans="1:54" ht="15" customHeight="1">
      <c r="A9" s="284" t="s">
        <v>402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5">
        <f>+'Salaries Dpt'!J43</f>
        <v>0</v>
      </c>
      <c r="AE9" s="5"/>
      <c r="AF9" s="5"/>
      <c r="AG9" s="5"/>
      <c r="AH9" s="5"/>
      <c r="AI9" s="5"/>
      <c r="AK9" s="4">
        <f>('Salaries Dpt'!H47)*0.75</f>
        <v>436.8149998176327</v>
      </c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5">
        <f t="shared" si="0"/>
        <v>436.8149998176327</v>
      </c>
      <c r="AY9" s="13"/>
      <c r="AZ9" s="5"/>
      <c r="BA9" s="10"/>
      <c r="BB9" s="6"/>
    </row>
    <row r="10" spans="1:54" ht="15" customHeight="1">
      <c r="A10" s="284" t="s">
        <v>454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5">
        <f>+'Salaries Dpt'!J44</f>
        <v>0</v>
      </c>
      <c r="AE10" s="5"/>
      <c r="AF10" s="5"/>
      <c r="AG10" s="5"/>
      <c r="AH10" s="5"/>
      <c r="AI10" s="5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5">
        <f t="shared" si="0"/>
        <v>0</v>
      </c>
      <c r="AY10" s="13"/>
      <c r="AZ10" s="5"/>
      <c r="BA10" s="10"/>
      <c r="BB10" s="6"/>
    </row>
    <row r="11" spans="1:54" s="22" customFormat="1" ht="15" customHeight="1">
      <c r="A11" s="453" t="s">
        <v>455</v>
      </c>
      <c r="B11" s="5">
        <f>SUM(B8:B10)</f>
        <v>0</v>
      </c>
      <c r="C11" s="5">
        <f aca="true" t="shared" si="4" ref="C11:AC11">SUM(C8:C10)</f>
        <v>0</v>
      </c>
      <c r="D11" s="5">
        <f t="shared" si="4"/>
        <v>0</v>
      </c>
      <c r="E11" s="5">
        <f t="shared" si="4"/>
        <v>0</v>
      </c>
      <c r="F11" s="5">
        <f t="shared" si="4"/>
        <v>0</v>
      </c>
      <c r="G11" s="5">
        <f t="shared" si="4"/>
        <v>0</v>
      </c>
      <c r="H11" s="5">
        <f t="shared" si="4"/>
        <v>0</v>
      </c>
      <c r="I11" s="5">
        <f t="shared" si="4"/>
        <v>0</v>
      </c>
      <c r="J11" s="5">
        <f t="shared" si="4"/>
        <v>0</v>
      </c>
      <c r="K11" s="5">
        <f t="shared" si="4"/>
        <v>0</v>
      </c>
      <c r="L11" s="5">
        <f t="shared" si="4"/>
        <v>0</v>
      </c>
      <c r="M11" s="5">
        <f t="shared" si="4"/>
        <v>0</v>
      </c>
      <c r="N11" s="5">
        <f t="shared" si="4"/>
        <v>0</v>
      </c>
      <c r="O11" s="5">
        <f t="shared" si="4"/>
        <v>0</v>
      </c>
      <c r="P11" s="5">
        <f t="shared" si="4"/>
        <v>0</v>
      </c>
      <c r="Q11" s="5">
        <f t="shared" si="4"/>
        <v>0</v>
      </c>
      <c r="R11" s="5">
        <f t="shared" si="4"/>
        <v>0</v>
      </c>
      <c r="S11" s="5">
        <f t="shared" si="4"/>
        <v>0</v>
      </c>
      <c r="T11" s="5">
        <f t="shared" si="4"/>
        <v>0</v>
      </c>
      <c r="U11" s="5">
        <f t="shared" si="4"/>
        <v>0</v>
      </c>
      <c r="V11" s="5">
        <f t="shared" si="4"/>
        <v>0</v>
      </c>
      <c r="W11" s="5">
        <f t="shared" si="4"/>
        <v>0</v>
      </c>
      <c r="X11" s="5">
        <f t="shared" si="4"/>
        <v>0</v>
      </c>
      <c r="Y11" s="5">
        <f t="shared" si="4"/>
        <v>0</v>
      </c>
      <c r="Z11" s="5">
        <f t="shared" si="4"/>
        <v>0</v>
      </c>
      <c r="AA11" s="5">
        <f t="shared" si="4"/>
        <v>0</v>
      </c>
      <c r="AB11" s="5">
        <f t="shared" si="4"/>
        <v>0</v>
      </c>
      <c r="AC11" s="5">
        <f t="shared" si="4"/>
        <v>0</v>
      </c>
      <c r="AD11" s="5">
        <f aca="true" t="shared" si="5" ref="AD11:AW11">SUM(AD8:AD10)</f>
        <v>0</v>
      </c>
      <c r="AE11" s="5">
        <f t="shared" si="5"/>
        <v>22.086466165413533</v>
      </c>
      <c r="AF11" s="5">
        <f t="shared" si="5"/>
        <v>188</v>
      </c>
      <c r="AG11" s="5">
        <f t="shared" si="5"/>
        <v>729.9135338345865</v>
      </c>
      <c r="AH11" s="5"/>
      <c r="AI11" s="5">
        <f t="shared" si="5"/>
        <v>0</v>
      </c>
      <c r="AJ11" s="5">
        <f t="shared" si="5"/>
        <v>940</v>
      </c>
      <c r="AK11" s="5">
        <f t="shared" si="5"/>
        <v>436.8149998176327</v>
      </c>
      <c r="AL11" s="5">
        <f t="shared" si="5"/>
        <v>0</v>
      </c>
      <c r="AM11" s="5">
        <f t="shared" si="5"/>
        <v>0</v>
      </c>
      <c r="AN11" s="5">
        <f t="shared" si="5"/>
        <v>0</v>
      </c>
      <c r="AO11" s="5">
        <f t="shared" si="5"/>
        <v>0</v>
      </c>
      <c r="AP11" s="5">
        <f t="shared" si="5"/>
        <v>0</v>
      </c>
      <c r="AQ11" s="5">
        <f t="shared" si="5"/>
        <v>0</v>
      </c>
      <c r="AR11" s="5">
        <f t="shared" si="5"/>
        <v>0</v>
      </c>
      <c r="AS11" s="5">
        <f t="shared" si="5"/>
        <v>0</v>
      </c>
      <c r="AT11" s="5">
        <f t="shared" si="5"/>
        <v>0</v>
      </c>
      <c r="AU11" s="5">
        <f t="shared" si="5"/>
        <v>0</v>
      </c>
      <c r="AV11" s="5">
        <f t="shared" si="5"/>
        <v>0</v>
      </c>
      <c r="AW11" s="5">
        <f t="shared" si="5"/>
        <v>0</v>
      </c>
      <c r="AX11" s="5">
        <f t="shared" si="0"/>
        <v>1376.8149998176327</v>
      </c>
      <c r="AY11" s="13"/>
      <c r="AZ11" s="5"/>
      <c r="BA11" s="10"/>
      <c r="BB11" s="9"/>
    </row>
    <row r="12" spans="1:54" ht="12.75">
      <c r="A12" s="284" t="s">
        <v>388</v>
      </c>
      <c r="B12" s="4">
        <f>+'SMS Alloc'!B11</f>
        <v>83.0197069106664</v>
      </c>
      <c r="C12" s="4">
        <f>+'SMS Alloc'!C11</f>
        <v>96.22666404285513</v>
      </c>
      <c r="D12" s="4">
        <f>+'SMS Alloc'!D11</f>
        <v>40.6671105391992</v>
      </c>
      <c r="E12" s="4">
        <f>+'SMS Alloc'!E11</f>
        <v>94.07226159507432</v>
      </c>
      <c r="F12" s="4">
        <f>+'SMS Alloc'!F11</f>
        <v>20.834832563870968</v>
      </c>
      <c r="G12" s="4">
        <f>+'SMS Alloc'!G11</f>
        <v>19.83227797532823</v>
      </c>
      <c r="H12" s="4">
        <f>+'SMS Alloc'!H11</f>
        <v>201.31467769436424</v>
      </c>
      <c r="I12" s="4">
        <f>+'SMS Alloc'!I11</f>
        <v>7.220215654580233</v>
      </c>
      <c r="J12" s="4">
        <f>+'SMS Alloc'!J11</f>
        <v>0</v>
      </c>
      <c r="K12" s="4">
        <f>+'SMS Alloc'!K11</f>
        <v>0</v>
      </c>
      <c r="L12" s="4">
        <f>+'SMS Alloc'!L11</f>
        <v>45.16020487365502</v>
      </c>
      <c r="M12" s="4">
        <f>+'SMS Alloc'!M11</f>
        <v>50.22601808045443</v>
      </c>
      <c r="N12" s="4">
        <f>+'SMS Alloc'!N11</f>
        <v>0</v>
      </c>
      <c r="O12" s="4">
        <f>+'SMS Alloc'!O11</f>
        <v>37.264607225570686</v>
      </c>
      <c r="P12" s="4">
        <f>+'SMS Alloc'!P11</f>
        <v>2.154402447780816</v>
      </c>
      <c r="Q12" s="4">
        <f>+'SMS Alloc'!Q11</f>
        <v>0</v>
      </c>
      <c r="R12" s="4">
        <f>+'SMS Alloc'!R11</f>
        <v>35.95064586653554</v>
      </c>
      <c r="S12" s="4">
        <f>+'SMS Alloc'!S11</f>
        <v>38.51270809141838</v>
      </c>
      <c r="T12" s="4">
        <f>+'SMS Alloc'!T11</f>
        <v>272.3977042777868</v>
      </c>
      <c r="U12" s="4">
        <f>+'SMS Alloc'!U11</f>
        <v>52.38042052823525</v>
      </c>
      <c r="V12" s="4">
        <f>+'SMS Alloc'!V11</f>
        <v>126.64258008707846</v>
      </c>
      <c r="W12" s="4">
        <f>+'SMS Alloc'!W11</f>
        <v>165.58740216603655</v>
      </c>
      <c r="X12" s="4">
        <f>+'SMS Alloc'!X11</f>
        <v>131.9317636320857</v>
      </c>
      <c r="Y12" s="4">
        <f>+'SMS Alloc'!Y11</f>
        <v>60.276018176319596</v>
      </c>
      <c r="Z12" s="4">
        <f>+'SMS Alloc'!Z11</f>
        <v>0</v>
      </c>
      <c r="AA12" s="4">
        <f>+'SMS Alloc'!AA11</f>
        <v>4.716464672663659</v>
      </c>
      <c r="AB12" s="4">
        <f>+'SMS Alloc'!AB11</f>
        <v>90.26209850434375</v>
      </c>
      <c r="AC12" s="4">
        <f>+'SMS Alloc'!AC11</f>
        <v>38.721451740750275</v>
      </c>
      <c r="AD12" s="5">
        <f>SUM(B12:AC12)</f>
        <v>1715.3722373466537</v>
      </c>
      <c r="AE12" s="5">
        <f>+AJ12</f>
        <v>152.87241641325988</v>
      </c>
      <c r="AF12" s="5"/>
      <c r="AG12" s="5"/>
      <c r="AH12" s="5"/>
      <c r="AI12" s="5"/>
      <c r="AJ12" s="4">
        <f>+'SMS Alloc'!AD11</f>
        <v>152.87241641325988</v>
      </c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5">
        <f t="shared" si="0"/>
        <v>1868.2446537599135</v>
      </c>
      <c r="AY12" s="13"/>
      <c r="AZ12" s="5"/>
      <c r="BA12" s="10" t="e">
        <f t="shared" si="1"/>
        <v>#DIV/0!</v>
      </c>
      <c r="BB12" s="6"/>
    </row>
    <row r="13" spans="1:54" ht="12.75">
      <c r="A13" s="284" t="s">
        <v>412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5">
        <f>+'Salaries Dpt'!J47</f>
        <v>213.43404150874457</v>
      </c>
      <c r="AE13" s="5"/>
      <c r="AF13" s="5"/>
      <c r="AG13" s="5">
        <f>+AJ13</f>
        <v>60.98115471678416</v>
      </c>
      <c r="AH13" s="5"/>
      <c r="AI13" s="5"/>
      <c r="AJ13" s="4">
        <f>+'Salaries Dpt'!L47</f>
        <v>60.98115471678416</v>
      </c>
      <c r="AK13" s="4">
        <f>+'Salaries Dpt'!K47</f>
        <v>169.87607385389876</v>
      </c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5">
        <f t="shared" si="0"/>
        <v>444.2912700794275</v>
      </c>
      <c r="AY13" s="13"/>
      <c r="AZ13" s="5"/>
      <c r="BA13" s="10"/>
      <c r="BB13" s="6"/>
    </row>
    <row r="14" spans="1:54" ht="12.75">
      <c r="A14" s="284" t="s">
        <v>470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5"/>
      <c r="AE14" s="5"/>
      <c r="AF14" s="5">
        <f>0.2*AJ14</f>
        <v>29.120999987842183</v>
      </c>
      <c r="AG14" s="5">
        <f>0.8*AJ14</f>
        <v>116.48399995136873</v>
      </c>
      <c r="AH14" s="5"/>
      <c r="AI14" s="5"/>
      <c r="AJ14" s="4">
        <f>('Salaries Dpt'!H47)*0.25</f>
        <v>145.6049999392109</v>
      </c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5">
        <f t="shared" si="0"/>
        <v>145.6049999392109</v>
      </c>
      <c r="AY14" s="13"/>
      <c r="AZ14" s="5"/>
      <c r="BA14" s="10"/>
      <c r="BB14" s="6"/>
    </row>
    <row r="15" spans="1:54" ht="15" customHeight="1">
      <c r="A15" s="284" t="s">
        <v>401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5">
        <f>+'Salaries Dpt'!J48</f>
        <v>0</v>
      </c>
      <c r="AE15" s="5">
        <f>+AJ15</f>
        <v>65.8174223889871</v>
      </c>
      <c r="AF15" s="5"/>
      <c r="AG15" s="5"/>
      <c r="AH15" s="5"/>
      <c r="AI15" s="5"/>
      <c r="AJ15" s="212">
        <f>'Salaries Dpt'!C123*'Salaries Dpt'!K124</f>
        <v>65.8174223889871</v>
      </c>
      <c r="AK15" s="212"/>
      <c r="AL15" s="212"/>
      <c r="AM15" s="212"/>
      <c r="AN15" s="212"/>
      <c r="AO15" s="212"/>
      <c r="AP15" s="212"/>
      <c r="AQ15" s="212"/>
      <c r="AR15" s="212"/>
      <c r="AS15" s="4">
        <f>+'Salaries Dpt'!K121*'Salaries Dpt'!C123+'Salaries Dpt'!L121*'Salaries Dpt'!C122</f>
        <v>394.9057860235715</v>
      </c>
      <c r="AT15" s="212"/>
      <c r="AU15" s="212"/>
      <c r="AV15" s="4">
        <f>+'Salaries Dpt'!K122*'Salaries Dpt'!C123+'Salaries Dpt'!L122*'Salaries Dpt'!C122</f>
        <v>296.1821558193888</v>
      </c>
      <c r="AW15" s="212">
        <f>+'Salaries Dpt'!K123*'Salaries Dpt'!C123+'Salaries Dpt'!L123*'Salaries Dpt'!C122</f>
        <v>190.87352898322007</v>
      </c>
      <c r="AX15" s="5">
        <f t="shared" si="0"/>
        <v>947.7788932151675</v>
      </c>
      <c r="AY15" s="13"/>
      <c r="AZ15" s="5"/>
      <c r="BA15" s="10"/>
      <c r="BB15" s="6"/>
    </row>
    <row r="16" spans="1:54" ht="12.75">
      <c r="A16" s="12" t="s">
        <v>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5">
        <f aca="true" t="shared" si="6" ref="AD16:AD52">SUM(B16:AC16)</f>
        <v>0</v>
      </c>
      <c r="AE16" s="5"/>
      <c r="AF16" s="5"/>
      <c r="AG16" s="5"/>
      <c r="AH16" s="5"/>
      <c r="AI16" s="5"/>
      <c r="AJ16" s="4"/>
      <c r="AK16" s="4"/>
      <c r="AL16" s="4"/>
      <c r="AM16" s="4">
        <f>+'Salaries Dpt'!C56</f>
        <v>113.90439502753641</v>
      </c>
      <c r="AN16" s="4"/>
      <c r="AO16" s="4">
        <f>+'Salaries Dpt'!C103</f>
        <v>1520.0318196287972</v>
      </c>
      <c r="AP16" s="4"/>
      <c r="AQ16" s="4">
        <f>+'Salaries Dpt'!C104</f>
        <v>631.0277273011411</v>
      </c>
      <c r="AR16" s="4">
        <f>+'Salaries Dpt'!C61-AM16</f>
        <v>954.9846827173172</v>
      </c>
      <c r="AS16" s="4"/>
      <c r="AT16" s="4">
        <f>+'Salaries Dpt'!G47</f>
        <v>519.8294145303332</v>
      </c>
      <c r="AU16" s="4">
        <f>+'Salaries Dpt'!C105</f>
        <v>187.36710552245205</v>
      </c>
      <c r="AV16" s="4"/>
      <c r="AW16" s="4"/>
      <c r="AX16" s="5">
        <f t="shared" si="0"/>
        <v>3927.1451447275776</v>
      </c>
      <c r="AY16" s="1"/>
      <c r="AZ16" s="6"/>
      <c r="BA16" s="7" t="e">
        <f t="shared" si="1"/>
        <v>#DIV/0!</v>
      </c>
      <c r="BB16" s="6"/>
    </row>
    <row r="17" spans="1:54" ht="12.75">
      <c r="A17" s="14" t="s">
        <v>45</v>
      </c>
      <c r="B17" s="5">
        <f>SUM(B12:B16)</f>
        <v>83.0197069106664</v>
      </c>
      <c r="C17" s="5">
        <f aca="true" t="shared" si="7" ref="C17:AD17">SUM(C12:C16)</f>
        <v>96.22666404285513</v>
      </c>
      <c r="D17" s="5">
        <f t="shared" si="7"/>
        <v>40.6671105391992</v>
      </c>
      <c r="E17" s="5">
        <f t="shared" si="7"/>
        <v>94.07226159507432</v>
      </c>
      <c r="F17" s="5">
        <f t="shared" si="7"/>
        <v>20.834832563870968</v>
      </c>
      <c r="G17" s="5">
        <f t="shared" si="7"/>
        <v>19.83227797532823</v>
      </c>
      <c r="H17" s="5">
        <f t="shared" si="7"/>
        <v>201.31467769436424</v>
      </c>
      <c r="I17" s="5">
        <f t="shared" si="7"/>
        <v>7.220215654580233</v>
      </c>
      <c r="J17" s="5">
        <f t="shared" si="7"/>
        <v>0</v>
      </c>
      <c r="K17" s="5">
        <f t="shared" si="7"/>
        <v>0</v>
      </c>
      <c r="L17" s="5">
        <f t="shared" si="7"/>
        <v>45.16020487365502</v>
      </c>
      <c r="M17" s="5">
        <f t="shared" si="7"/>
        <v>50.22601808045443</v>
      </c>
      <c r="N17" s="5">
        <f t="shared" si="7"/>
        <v>0</v>
      </c>
      <c r="O17" s="5">
        <f t="shared" si="7"/>
        <v>37.264607225570686</v>
      </c>
      <c r="P17" s="5">
        <f t="shared" si="7"/>
        <v>2.154402447780816</v>
      </c>
      <c r="Q17" s="5">
        <f t="shared" si="7"/>
        <v>0</v>
      </c>
      <c r="R17" s="5">
        <f t="shared" si="7"/>
        <v>35.95064586653554</v>
      </c>
      <c r="S17" s="5">
        <f t="shared" si="7"/>
        <v>38.51270809141838</v>
      </c>
      <c r="T17" s="5">
        <f t="shared" si="7"/>
        <v>272.3977042777868</v>
      </c>
      <c r="U17" s="5">
        <f t="shared" si="7"/>
        <v>52.38042052823525</v>
      </c>
      <c r="V17" s="5">
        <f t="shared" si="7"/>
        <v>126.64258008707846</v>
      </c>
      <c r="W17" s="5">
        <f t="shared" si="7"/>
        <v>165.58740216603655</v>
      </c>
      <c r="X17" s="5">
        <f t="shared" si="7"/>
        <v>131.9317636320857</v>
      </c>
      <c r="Y17" s="5">
        <f t="shared" si="7"/>
        <v>60.276018176319596</v>
      </c>
      <c r="Z17" s="5">
        <f t="shared" si="7"/>
        <v>0</v>
      </c>
      <c r="AA17" s="5">
        <f t="shared" si="7"/>
        <v>4.716464672663659</v>
      </c>
      <c r="AB17" s="5">
        <f t="shared" si="7"/>
        <v>90.26209850434375</v>
      </c>
      <c r="AC17" s="5">
        <f t="shared" si="7"/>
        <v>38.721451740750275</v>
      </c>
      <c r="AD17" s="5">
        <f t="shared" si="7"/>
        <v>1928.8062788553982</v>
      </c>
      <c r="AE17" s="5">
        <f aca="true" t="shared" si="8" ref="AE17:AW17">SUM(AE12:AE16)</f>
        <v>218.68983880224698</v>
      </c>
      <c r="AF17" s="5">
        <f t="shared" si="8"/>
        <v>29.120999987842183</v>
      </c>
      <c r="AG17" s="5">
        <f t="shared" si="8"/>
        <v>177.46515466815288</v>
      </c>
      <c r="AH17" s="5"/>
      <c r="AI17" s="5">
        <f t="shared" si="8"/>
        <v>0</v>
      </c>
      <c r="AJ17" s="5">
        <f t="shared" si="8"/>
        <v>425.27599345824206</v>
      </c>
      <c r="AK17" s="5">
        <f t="shared" si="8"/>
        <v>169.87607385389876</v>
      </c>
      <c r="AL17" s="5">
        <f t="shared" si="8"/>
        <v>0</v>
      </c>
      <c r="AM17" s="5">
        <f t="shared" si="8"/>
        <v>113.90439502753641</v>
      </c>
      <c r="AN17" s="5">
        <f t="shared" si="8"/>
        <v>0</v>
      </c>
      <c r="AO17" s="5">
        <f t="shared" si="8"/>
        <v>1520.0318196287972</v>
      </c>
      <c r="AP17" s="5">
        <f t="shared" si="8"/>
        <v>0</v>
      </c>
      <c r="AQ17" s="5">
        <f t="shared" si="8"/>
        <v>631.0277273011411</v>
      </c>
      <c r="AR17" s="5">
        <f t="shared" si="8"/>
        <v>954.9846827173172</v>
      </c>
      <c r="AS17" s="5">
        <f t="shared" si="8"/>
        <v>394.9057860235715</v>
      </c>
      <c r="AT17" s="5">
        <f t="shared" si="8"/>
        <v>519.8294145303332</v>
      </c>
      <c r="AU17" s="5">
        <f t="shared" si="8"/>
        <v>187.36710552245205</v>
      </c>
      <c r="AV17" s="5">
        <f t="shared" si="8"/>
        <v>296.1821558193888</v>
      </c>
      <c r="AW17" s="5">
        <f t="shared" si="8"/>
        <v>190.87352898322007</v>
      </c>
      <c r="AX17" s="5">
        <f t="shared" si="0"/>
        <v>7333.064961721297</v>
      </c>
      <c r="AY17" s="1"/>
      <c r="AZ17" s="9"/>
      <c r="BA17" s="10" t="e">
        <f t="shared" si="1"/>
        <v>#DIV/0!</v>
      </c>
      <c r="BB17" s="6"/>
    </row>
    <row r="18" spans="1:54" ht="12.75">
      <c r="A18" s="11" t="s">
        <v>46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5">
        <f>+'BUDGET 2001'!M90</f>
        <v>160</v>
      </c>
      <c r="AE18" s="5"/>
      <c r="AF18" s="5"/>
      <c r="AG18" s="5"/>
      <c r="AH18" s="5"/>
      <c r="AI18" s="5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5">
        <f t="shared" si="0"/>
        <v>160</v>
      </c>
      <c r="AY18" s="1"/>
      <c r="AZ18" s="4"/>
      <c r="BA18" s="7" t="e">
        <f t="shared" si="1"/>
        <v>#DIV/0!</v>
      </c>
      <c r="BB18" s="6"/>
    </row>
    <row r="19" spans="1:54" ht="12.75">
      <c r="A19" s="11" t="s">
        <v>456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5">
        <f>SUM(B19:AC19)</f>
        <v>0</v>
      </c>
      <c r="AE19" s="5">
        <f>100/($AJ$3+$AJ$8+$AJ$19+$AJ$27)*(AJ19)</f>
        <v>18.796992481203006</v>
      </c>
      <c r="AF19" s="5">
        <f>0.2*AJ19</f>
        <v>160</v>
      </c>
      <c r="AG19" s="5">
        <f>($AJ$19-$AF$19-$AE$19)*18/21</f>
        <v>532.4597207303974</v>
      </c>
      <c r="AH19" s="5"/>
      <c r="AI19" s="5">
        <f>($AJ$19-$AF$19-$AE$19)*2/21</f>
        <v>59.16219119226638</v>
      </c>
      <c r="AJ19" s="4">
        <f>+'Travel Dpt'!G21</f>
        <v>800</v>
      </c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5">
        <f t="shared" si="0"/>
        <v>800</v>
      </c>
      <c r="AY19" s="1"/>
      <c r="AZ19" s="4"/>
      <c r="BA19" s="7"/>
      <c r="BB19" s="6"/>
    </row>
    <row r="20" spans="1:54" s="279" customFormat="1" ht="12.75">
      <c r="A20" s="423" t="s">
        <v>399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5">
        <f>SUM(B20:AC20)</f>
        <v>0</v>
      </c>
      <c r="AE20" s="5"/>
      <c r="AF20" s="5"/>
      <c r="AG20" s="5"/>
      <c r="AH20" s="5"/>
      <c r="AI20" s="5"/>
      <c r="AJ20" s="212"/>
      <c r="AK20" s="4">
        <f>+'Travel Dpt'!G23</f>
        <v>50</v>
      </c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5">
        <f t="shared" si="0"/>
        <v>50</v>
      </c>
      <c r="AY20" s="277"/>
      <c r="AZ20" s="212"/>
      <c r="BA20" s="278"/>
      <c r="BB20" s="212"/>
    </row>
    <row r="21" spans="1:54" s="279" customFormat="1" ht="12.75">
      <c r="A21" s="423" t="s">
        <v>457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5">
        <f>SUM(B21:AC21)</f>
        <v>0</v>
      </c>
      <c r="AE21" s="5"/>
      <c r="AF21" s="5"/>
      <c r="AG21" s="5"/>
      <c r="AH21" s="5"/>
      <c r="AI21" s="5"/>
      <c r="AJ21" s="212"/>
      <c r="AK21" s="4"/>
      <c r="AL21" s="4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5">
        <f t="shared" si="0"/>
        <v>0</v>
      </c>
      <c r="AY21" s="277"/>
      <c r="AZ21" s="212"/>
      <c r="BA21" s="278"/>
      <c r="BB21" s="212"/>
    </row>
    <row r="22" spans="1:54" s="279" customFormat="1" ht="12.75">
      <c r="A22" s="453" t="s">
        <v>459</v>
      </c>
      <c r="B22" s="5">
        <f>SUM(B18:B21)</f>
        <v>0</v>
      </c>
      <c r="C22" s="5">
        <f aca="true" t="shared" si="9" ref="C22:AD22">SUM(C18:C21)</f>
        <v>0</v>
      </c>
      <c r="D22" s="5">
        <f t="shared" si="9"/>
        <v>0</v>
      </c>
      <c r="E22" s="5">
        <f t="shared" si="9"/>
        <v>0</v>
      </c>
      <c r="F22" s="5">
        <f t="shared" si="9"/>
        <v>0</v>
      </c>
      <c r="G22" s="5">
        <f t="shared" si="9"/>
        <v>0</v>
      </c>
      <c r="H22" s="5">
        <f t="shared" si="9"/>
        <v>0</v>
      </c>
      <c r="I22" s="5">
        <f t="shared" si="9"/>
        <v>0</v>
      </c>
      <c r="J22" s="5">
        <f t="shared" si="9"/>
        <v>0</v>
      </c>
      <c r="K22" s="5">
        <f t="shared" si="9"/>
        <v>0</v>
      </c>
      <c r="L22" s="5">
        <f t="shared" si="9"/>
        <v>0</v>
      </c>
      <c r="M22" s="5">
        <f t="shared" si="9"/>
        <v>0</v>
      </c>
      <c r="N22" s="5">
        <f t="shared" si="9"/>
        <v>0</v>
      </c>
      <c r="O22" s="5">
        <f t="shared" si="9"/>
        <v>0</v>
      </c>
      <c r="P22" s="5">
        <f t="shared" si="9"/>
        <v>0</v>
      </c>
      <c r="Q22" s="5">
        <f t="shared" si="9"/>
        <v>0</v>
      </c>
      <c r="R22" s="5">
        <f t="shared" si="9"/>
        <v>0</v>
      </c>
      <c r="S22" s="5">
        <f t="shared" si="9"/>
        <v>0</v>
      </c>
      <c r="T22" s="5">
        <f t="shared" si="9"/>
        <v>0</v>
      </c>
      <c r="U22" s="5">
        <f t="shared" si="9"/>
        <v>0</v>
      </c>
      <c r="V22" s="5">
        <f t="shared" si="9"/>
        <v>0</v>
      </c>
      <c r="W22" s="5">
        <f t="shared" si="9"/>
        <v>0</v>
      </c>
      <c r="X22" s="5">
        <f t="shared" si="9"/>
        <v>0</v>
      </c>
      <c r="Y22" s="5">
        <f t="shared" si="9"/>
        <v>0</v>
      </c>
      <c r="Z22" s="5">
        <f t="shared" si="9"/>
        <v>0</v>
      </c>
      <c r="AA22" s="5">
        <f t="shared" si="9"/>
        <v>0</v>
      </c>
      <c r="AB22" s="5">
        <f t="shared" si="9"/>
        <v>0</v>
      </c>
      <c r="AC22" s="5">
        <f t="shared" si="9"/>
        <v>0</v>
      </c>
      <c r="AD22" s="5">
        <f t="shared" si="9"/>
        <v>160</v>
      </c>
      <c r="AE22" s="5">
        <f aca="true" t="shared" si="10" ref="AE22:AW22">SUM(AE18:AE21)</f>
        <v>18.796992481203006</v>
      </c>
      <c r="AF22" s="5">
        <f t="shared" si="10"/>
        <v>160</v>
      </c>
      <c r="AG22" s="5">
        <f t="shared" si="10"/>
        <v>532.4597207303974</v>
      </c>
      <c r="AH22" s="5"/>
      <c r="AI22" s="5">
        <f t="shared" si="10"/>
        <v>59.16219119226638</v>
      </c>
      <c r="AJ22" s="5">
        <f t="shared" si="10"/>
        <v>800</v>
      </c>
      <c r="AK22" s="5">
        <f t="shared" si="10"/>
        <v>50</v>
      </c>
      <c r="AL22" s="5">
        <f t="shared" si="10"/>
        <v>0</v>
      </c>
      <c r="AM22" s="5">
        <f t="shared" si="10"/>
        <v>0</v>
      </c>
      <c r="AN22" s="5">
        <f t="shared" si="10"/>
        <v>0</v>
      </c>
      <c r="AO22" s="5">
        <f t="shared" si="10"/>
        <v>0</v>
      </c>
      <c r="AP22" s="5">
        <f t="shared" si="10"/>
        <v>0</v>
      </c>
      <c r="AQ22" s="5">
        <f t="shared" si="10"/>
        <v>0</v>
      </c>
      <c r="AR22" s="5">
        <f t="shared" si="10"/>
        <v>0</v>
      </c>
      <c r="AS22" s="5">
        <f t="shared" si="10"/>
        <v>0</v>
      </c>
      <c r="AT22" s="5">
        <f t="shared" si="10"/>
        <v>0</v>
      </c>
      <c r="AU22" s="5">
        <f t="shared" si="10"/>
        <v>0</v>
      </c>
      <c r="AV22" s="5">
        <f t="shared" si="10"/>
        <v>0</v>
      </c>
      <c r="AW22" s="5">
        <f t="shared" si="10"/>
        <v>0</v>
      </c>
      <c r="AX22" s="5">
        <f t="shared" si="0"/>
        <v>1010</v>
      </c>
      <c r="AY22" s="277"/>
      <c r="AZ22" s="212"/>
      <c r="BA22" s="278"/>
      <c r="BB22" s="212"/>
    </row>
    <row r="23" spans="1:54" s="279" customFormat="1" ht="12.75">
      <c r="A23" s="276" t="s">
        <v>47</v>
      </c>
      <c r="B23" s="212">
        <f>+'SMS Alloc'!B12</f>
        <v>9.877063540198375</v>
      </c>
      <c r="C23" s="212">
        <f>+'SMS Alloc'!C12</f>
        <v>12.782082228492015</v>
      </c>
      <c r="D23" s="212">
        <f>+'SMS Alloc'!D12</f>
        <v>5.035365726375642</v>
      </c>
      <c r="E23" s="212">
        <f>+'SMS Alloc'!E12</f>
        <v>12.782082228492015</v>
      </c>
      <c r="F23" s="212">
        <f>+'SMS Alloc'!F12</f>
        <v>2.9050186882936395</v>
      </c>
      <c r="G23" s="212">
        <f>+'SMS Alloc'!G12</f>
        <v>2.1303470380820024</v>
      </c>
      <c r="H23" s="212">
        <f>+'SMS Alloc'!H12</f>
        <v>22.659145768690387</v>
      </c>
      <c r="I23" s="212">
        <f>+'SMS Alloc'!I12</f>
        <v>0</v>
      </c>
      <c r="J23" s="212">
        <f>+'SMS Alloc'!J12</f>
        <v>0</v>
      </c>
      <c r="K23" s="212">
        <f>+'SMS Alloc'!K12</f>
        <v>0</v>
      </c>
      <c r="L23" s="212">
        <f>+'SMS Alloc'!L12</f>
        <v>5.61636946403437</v>
      </c>
      <c r="M23" s="212">
        <f>+'SMS Alloc'!M12</f>
        <v>5.61636946403437</v>
      </c>
      <c r="N23" s="212">
        <f>+'SMS Alloc'!N12</f>
        <v>0</v>
      </c>
      <c r="O23" s="212">
        <f>+'SMS Alloc'!O12</f>
        <v>3.4860224259523678</v>
      </c>
      <c r="P23" s="212">
        <f>+'SMS Alloc'!P12</f>
        <v>0</v>
      </c>
      <c r="Q23" s="212">
        <f>+'SMS Alloc'!Q12</f>
        <v>0</v>
      </c>
      <c r="R23" s="212">
        <f>+'SMS Alloc'!R12</f>
        <v>5.035365726375642</v>
      </c>
      <c r="S23" s="212">
        <f>+'SMS Alloc'!S12</f>
        <v>5.035365726375642</v>
      </c>
      <c r="T23" s="212">
        <f>+'SMS Alloc'!T12</f>
        <v>32.536209308888765</v>
      </c>
      <c r="U23" s="212">
        <f>+'SMS Alloc'!U12</f>
        <v>5.61636946403437</v>
      </c>
      <c r="V23" s="212">
        <f>+'SMS Alloc'!V12</f>
        <v>17.62378004231475</v>
      </c>
      <c r="W23" s="212">
        <f>+'SMS Alloc'!W12</f>
        <v>17.04277630465602</v>
      </c>
      <c r="X23" s="212">
        <f>+'SMS Alloc'!X12</f>
        <v>17.04277630465602</v>
      </c>
      <c r="Y23" s="212">
        <f>+'SMS Alloc'!Y12</f>
        <v>7.746716502116373</v>
      </c>
      <c r="Z23" s="212">
        <f>+'SMS Alloc'!Z12</f>
        <v>0</v>
      </c>
      <c r="AA23" s="212">
        <f>+'SMS Alloc'!AA12</f>
        <v>0</v>
      </c>
      <c r="AB23" s="212">
        <f>+'SMS Alloc'!AB12</f>
        <v>11.23273892806874</v>
      </c>
      <c r="AC23" s="212">
        <f>+'SMS Alloc'!AC12</f>
        <v>0</v>
      </c>
      <c r="AD23" s="5">
        <f t="shared" si="6"/>
        <v>201.8019648801315</v>
      </c>
      <c r="AE23" s="5"/>
      <c r="AF23" s="5"/>
      <c r="AG23" s="5"/>
      <c r="AH23" s="5"/>
      <c r="AI23" s="5"/>
      <c r="AJ23" s="212">
        <f>+'SMS Alloc'!AD12</f>
        <v>0</v>
      </c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5">
        <f t="shared" si="0"/>
        <v>201.8019648801315</v>
      </c>
      <c r="AY23" s="277"/>
      <c r="AZ23" s="212"/>
      <c r="BA23" s="278" t="e">
        <f t="shared" si="1"/>
        <v>#DIV/0!</v>
      </c>
      <c r="BB23" s="212"/>
    </row>
    <row r="24" spans="1:54" s="279" customFormat="1" ht="12.75">
      <c r="A24" s="423" t="s">
        <v>400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5">
        <f t="shared" si="6"/>
        <v>0</v>
      </c>
      <c r="AE24" s="5"/>
      <c r="AF24" s="5"/>
      <c r="AG24" s="5"/>
      <c r="AS24" s="584">
        <f>+'Travel Dpt'!G15</f>
        <v>147.9371885591532</v>
      </c>
      <c r="AX24" s="5">
        <f t="shared" si="0"/>
        <v>147.9371885591532</v>
      </c>
      <c r="AY24" s="277"/>
      <c r="AZ24" s="212"/>
      <c r="BA24" s="278"/>
      <c r="BB24" s="212"/>
    </row>
    <row r="25" spans="1:54" ht="12.75">
      <c r="A25" s="12" t="s">
        <v>48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5">
        <f t="shared" si="6"/>
        <v>0</v>
      </c>
      <c r="AE25" s="3"/>
      <c r="AF25" s="3"/>
      <c r="AG25" s="3"/>
      <c r="AH25" s="3"/>
      <c r="AI25" s="3"/>
      <c r="AK25" s="4"/>
      <c r="AM25" s="4"/>
      <c r="AN25" s="4"/>
      <c r="AO25" s="4">
        <f>+'Travel Dpt'!G14/2</f>
        <v>18.88362873707301</v>
      </c>
      <c r="AP25" s="4"/>
      <c r="AQ25" s="4">
        <f>+'Travel Dpt'!G14/2</f>
        <v>18.88362873707301</v>
      </c>
      <c r="AR25" s="4">
        <f>+'Travel Dpt'!G13</f>
        <v>149.05715832182847</v>
      </c>
      <c r="AS25" s="4"/>
      <c r="AT25" s="4">
        <f>+'Travel Dpt'!G12</f>
        <v>93.43643076474075</v>
      </c>
      <c r="AU25" s="4"/>
      <c r="AV25" s="4"/>
      <c r="AW25" s="4"/>
      <c r="AX25" s="5">
        <f t="shared" si="0"/>
        <v>280.2608465607152</v>
      </c>
      <c r="AY25" s="1"/>
      <c r="AZ25" s="6"/>
      <c r="BA25" s="15" t="e">
        <f t="shared" si="1"/>
        <v>#DIV/0!</v>
      </c>
      <c r="BB25" s="6"/>
    </row>
    <row r="26" spans="1:54" ht="12.75">
      <c r="A26" s="453" t="s">
        <v>458</v>
      </c>
      <c r="B26" s="5">
        <f>SUM(B23:B25)</f>
        <v>9.877063540198375</v>
      </c>
      <c r="C26" s="5">
        <f aca="true" t="shared" si="11" ref="C26:K26">SUM(C23:C25)</f>
        <v>12.782082228492015</v>
      </c>
      <c r="D26" s="5">
        <f t="shared" si="11"/>
        <v>5.035365726375642</v>
      </c>
      <c r="E26" s="5">
        <f t="shared" si="11"/>
        <v>12.782082228492015</v>
      </c>
      <c r="F26" s="5">
        <f t="shared" si="11"/>
        <v>2.9050186882936395</v>
      </c>
      <c r="G26" s="5">
        <f t="shared" si="11"/>
        <v>2.1303470380820024</v>
      </c>
      <c r="H26" s="5">
        <f t="shared" si="11"/>
        <v>22.659145768690387</v>
      </c>
      <c r="I26" s="5">
        <f t="shared" si="11"/>
        <v>0</v>
      </c>
      <c r="J26" s="5">
        <f t="shared" si="11"/>
        <v>0</v>
      </c>
      <c r="K26" s="5">
        <f t="shared" si="11"/>
        <v>0</v>
      </c>
      <c r="L26" s="5">
        <f aca="true" t="shared" si="12" ref="L26:AD26">SUM(L23:L25)</f>
        <v>5.61636946403437</v>
      </c>
      <c r="M26" s="5">
        <f t="shared" si="12"/>
        <v>5.61636946403437</v>
      </c>
      <c r="N26" s="5">
        <f t="shared" si="12"/>
        <v>0</v>
      </c>
      <c r="O26" s="5">
        <f t="shared" si="12"/>
        <v>3.4860224259523678</v>
      </c>
      <c r="P26" s="5">
        <f t="shared" si="12"/>
        <v>0</v>
      </c>
      <c r="Q26" s="5">
        <f t="shared" si="12"/>
        <v>0</v>
      </c>
      <c r="R26" s="5">
        <f t="shared" si="12"/>
        <v>5.035365726375642</v>
      </c>
      <c r="S26" s="5">
        <f t="shared" si="12"/>
        <v>5.035365726375642</v>
      </c>
      <c r="T26" s="5">
        <f t="shared" si="12"/>
        <v>32.536209308888765</v>
      </c>
      <c r="U26" s="5">
        <f t="shared" si="12"/>
        <v>5.61636946403437</v>
      </c>
      <c r="V26" s="5">
        <f t="shared" si="12"/>
        <v>17.62378004231475</v>
      </c>
      <c r="W26" s="5">
        <f t="shared" si="12"/>
        <v>17.04277630465602</v>
      </c>
      <c r="X26" s="5">
        <f t="shared" si="12"/>
        <v>17.04277630465602</v>
      </c>
      <c r="Y26" s="5">
        <f t="shared" si="12"/>
        <v>7.746716502116373</v>
      </c>
      <c r="Z26" s="5">
        <f t="shared" si="12"/>
        <v>0</v>
      </c>
      <c r="AA26" s="5">
        <f t="shared" si="12"/>
        <v>0</v>
      </c>
      <c r="AB26" s="5">
        <f t="shared" si="12"/>
        <v>11.23273892806874</v>
      </c>
      <c r="AC26" s="5">
        <f t="shared" si="12"/>
        <v>0</v>
      </c>
      <c r="AD26" s="5">
        <f t="shared" si="12"/>
        <v>201.8019648801315</v>
      </c>
      <c r="AE26" s="5">
        <f aca="true" t="shared" si="13" ref="AE26:AW26">SUM(AE23:AE25)</f>
        <v>0</v>
      </c>
      <c r="AF26" s="5">
        <f t="shared" si="13"/>
        <v>0</v>
      </c>
      <c r="AG26" s="5">
        <f t="shared" si="13"/>
        <v>0</v>
      </c>
      <c r="AH26" s="5"/>
      <c r="AI26" s="5">
        <f t="shared" si="13"/>
        <v>0</v>
      </c>
      <c r="AJ26" s="5">
        <f t="shared" si="13"/>
        <v>0</v>
      </c>
      <c r="AK26" s="5">
        <f t="shared" si="13"/>
        <v>0</v>
      </c>
      <c r="AL26" s="5">
        <f t="shared" si="13"/>
        <v>0</v>
      </c>
      <c r="AM26" s="5">
        <f t="shared" si="13"/>
        <v>0</v>
      </c>
      <c r="AN26" s="5">
        <f t="shared" si="13"/>
        <v>0</v>
      </c>
      <c r="AO26" s="5">
        <f t="shared" si="13"/>
        <v>18.88362873707301</v>
      </c>
      <c r="AP26" s="5">
        <f t="shared" si="13"/>
        <v>0</v>
      </c>
      <c r="AQ26" s="5">
        <f t="shared" si="13"/>
        <v>18.88362873707301</v>
      </c>
      <c r="AR26" s="5">
        <f t="shared" si="13"/>
        <v>149.05715832182847</v>
      </c>
      <c r="AS26" s="5">
        <f t="shared" si="13"/>
        <v>147.9371885591532</v>
      </c>
      <c r="AT26" s="5">
        <f t="shared" si="13"/>
        <v>93.43643076474075</v>
      </c>
      <c r="AU26" s="5">
        <f t="shared" si="13"/>
        <v>0</v>
      </c>
      <c r="AV26" s="5">
        <f t="shared" si="13"/>
        <v>0</v>
      </c>
      <c r="AW26" s="5">
        <f t="shared" si="13"/>
        <v>0</v>
      </c>
      <c r="AX26" s="5">
        <f t="shared" si="0"/>
        <v>630</v>
      </c>
      <c r="AY26" s="1"/>
      <c r="AZ26" s="9"/>
      <c r="BA26" s="10" t="e">
        <f t="shared" si="1"/>
        <v>#DIV/0!</v>
      </c>
      <c r="BB26" s="6"/>
    </row>
    <row r="27" spans="1:54" ht="12.75">
      <c r="A27" s="4" t="s">
        <v>50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5">
        <f t="shared" si="6"/>
        <v>0</v>
      </c>
      <c r="AE27" s="5">
        <f>100/($AJ$3+$AJ$8+$AJ$19+$AJ$27)*(AJ27)</f>
        <v>9.63345864661654</v>
      </c>
      <c r="AF27" s="5">
        <f>0.2*(AJ27-AE27)</f>
        <v>80.0733082706767</v>
      </c>
      <c r="AG27" s="5">
        <f>AJ27-AF27-AE27</f>
        <v>320.29323308270676</v>
      </c>
      <c r="AH27" s="5"/>
      <c r="AI27" s="5"/>
      <c r="AJ27" s="4">
        <f>+'BUDGET 2001'!M72</f>
        <v>410</v>
      </c>
      <c r="AK27" s="4"/>
      <c r="AL27" s="4">
        <f>+'BUDGET 2001'!M85</f>
        <v>0</v>
      </c>
      <c r="AM27" s="4">
        <f>+'BUDGET 2001'!M61</f>
        <v>700</v>
      </c>
      <c r="AN27" s="4">
        <f>+'BUDGET 2001'!M63</f>
        <v>100</v>
      </c>
      <c r="AO27" s="4"/>
      <c r="AP27" s="4"/>
      <c r="AQ27" s="4"/>
      <c r="AR27" s="4">
        <f>+'BUDGET 2001'!M64</f>
        <v>400</v>
      </c>
      <c r="AS27" s="4"/>
      <c r="AT27" s="4"/>
      <c r="AU27" s="4"/>
      <c r="AV27" s="4"/>
      <c r="AW27" s="4"/>
      <c r="AX27" s="5">
        <f t="shared" si="0"/>
        <v>1610</v>
      </c>
      <c r="AY27" s="1"/>
      <c r="AZ27" s="6"/>
      <c r="BA27" s="7"/>
      <c r="BB27" s="6"/>
    </row>
    <row r="28" spans="1:54" ht="12.75">
      <c r="A28" s="4" t="s">
        <v>51</v>
      </c>
      <c r="B28" s="4">
        <f>+'M&amp;D Alloc'!E4</f>
        <v>20.833333333333336</v>
      </c>
      <c r="C28" s="4"/>
      <c r="D28" s="4">
        <f>+'M&amp;D Alloc'!E6</f>
        <v>20.833333333333336</v>
      </c>
      <c r="E28" s="4">
        <f>+'M&amp;D Alloc'!E5</f>
        <v>20.833333333333336</v>
      </c>
      <c r="F28" s="4"/>
      <c r="G28" s="4"/>
      <c r="H28" s="4"/>
      <c r="I28" s="4"/>
      <c r="J28" s="4"/>
      <c r="K28" s="4">
        <f>+'M&amp;D Alloc'!E7</f>
        <v>20.833333333333336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>
        <f>+'M&amp;D Alloc'!E8</f>
        <v>20.833333333333336</v>
      </c>
      <c r="W28" s="4"/>
      <c r="X28" s="4"/>
      <c r="Y28" s="4"/>
      <c r="Z28" s="4">
        <f>+'M&amp;D Alloc'!E9</f>
        <v>20.833333333333336</v>
      </c>
      <c r="AA28" s="4"/>
      <c r="AB28" s="4"/>
      <c r="AC28" s="4"/>
      <c r="AD28" s="5">
        <f t="shared" si="6"/>
        <v>125.00000000000003</v>
      </c>
      <c r="AE28" s="5"/>
      <c r="AF28" s="5"/>
      <c r="AG28" s="5"/>
      <c r="AH28" s="5"/>
      <c r="AI28" s="5"/>
      <c r="AJ28" s="4"/>
      <c r="AK28" s="4"/>
      <c r="AL28" s="4"/>
      <c r="AM28" s="4"/>
      <c r="AN28" s="4"/>
      <c r="AO28" s="4"/>
      <c r="AP28" s="4"/>
      <c r="AQ28" s="4"/>
      <c r="AR28" s="4"/>
      <c r="AS28" s="4">
        <f>+'M&amp;D Alloc'!E11</f>
        <v>125</v>
      </c>
      <c r="AT28" s="4"/>
      <c r="AU28" s="4"/>
      <c r="AV28" s="4"/>
      <c r="AW28" s="4"/>
      <c r="AX28" s="5">
        <f t="shared" si="0"/>
        <v>250.00000000000003</v>
      </c>
      <c r="AY28" s="1"/>
      <c r="AZ28" s="6"/>
      <c r="BA28" s="7"/>
      <c r="BB28" s="6"/>
    </row>
    <row r="29" spans="1:54" ht="12.75">
      <c r="A29" s="4" t="s">
        <v>52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5">
        <f>0.5*'BUDGET 2001'!M51</f>
        <v>200</v>
      </c>
      <c r="AE29" s="5"/>
      <c r="AF29" s="5"/>
      <c r="AG29" s="5"/>
      <c r="AH29" s="5"/>
      <c r="AI29" s="5"/>
      <c r="AJ29" s="5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>
        <f>0.5*'BUDGET 2001'!M51</f>
        <v>200</v>
      </c>
      <c r="AW29" s="4"/>
      <c r="AX29" s="5">
        <f t="shared" si="0"/>
        <v>400</v>
      </c>
      <c r="AY29" s="1"/>
      <c r="AZ29" s="6"/>
      <c r="BA29" s="15" t="e">
        <f t="shared" si="1"/>
        <v>#DIV/0!</v>
      </c>
      <c r="BB29" s="6"/>
    </row>
    <row r="30" spans="1:54" ht="12.75">
      <c r="A30" s="4" t="s">
        <v>53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5">
        <f t="shared" si="6"/>
        <v>0</v>
      </c>
      <c r="AE30" s="5"/>
      <c r="AF30" s="5"/>
      <c r="AG30" s="5"/>
      <c r="AH30" s="5"/>
      <c r="AI30" s="5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>
        <f>+'BUDGET 2001'!M54</f>
        <v>210</v>
      </c>
      <c r="AV30" s="4"/>
      <c r="AW30" s="4"/>
      <c r="AX30" s="5">
        <f t="shared" si="0"/>
        <v>210</v>
      </c>
      <c r="AY30" s="1"/>
      <c r="AZ30" s="6"/>
      <c r="BA30" s="7" t="e">
        <f t="shared" si="1"/>
        <v>#DIV/0!</v>
      </c>
      <c r="BB30" s="6"/>
    </row>
    <row r="31" spans="1:54" ht="12.75">
      <c r="A31" s="4" t="s">
        <v>54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5">
        <f t="shared" si="6"/>
        <v>0</v>
      </c>
      <c r="AE31" s="5"/>
      <c r="AF31" s="5"/>
      <c r="AG31" s="5"/>
      <c r="AH31" s="5"/>
      <c r="AI31" s="5"/>
      <c r="AJ31" s="4"/>
      <c r="AK31" s="4"/>
      <c r="AL31" s="4"/>
      <c r="AM31" s="4"/>
      <c r="AN31" s="4"/>
      <c r="AO31" s="4"/>
      <c r="AP31" s="4"/>
      <c r="AQ31" s="4">
        <f>+'BUDGET 2001'!M56</f>
        <v>150</v>
      </c>
      <c r="AR31" s="4"/>
      <c r="AS31" s="4"/>
      <c r="AT31" s="4"/>
      <c r="AU31" s="4"/>
      <c r="AV31" s="4"/>
      <c r="AW31" s="4"/>
      <c r="AX31" s="5">
        <f t="shared" si="0"/>
        <v>150</v>
      </c>
      <c r="AY31" s="1"/>
      <c r="AZ31" s="6"/>
      <c r="BA31" s="15" t="e">
        <f t="shared" si="1"/>
        <v>#DIV/0!</v>
      </c>
      <c r="BB31" s="6"/>
    </row>
    <row r="32" spans="1:54" ht="12.75">
      <c r="A32" s="12" t="s">
        <v>55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5">
        <f t="shared" si="6"/>
        <v>0</v>
      </c>
      <c r="AE32" s="5"/>
      <c r="AF32" s="5"/>
      <c r="AG32" s="5"/>
      <c r="AH32" s="5"/>
      <c r="AI32" s="5"/>
      <c r="AJ32" s="4"/>
      <c r="AK32" s="4"/>
      <c r="AL32" s="4"/>
      <c r="AM32" s="4"/>
      <c r="AN32" s="4"/>
      <c r="AO32" s="4">
        <f>+'BUDGET 2001'!M102*0.75</f>
        <v>675</v>
      </c>
      <c r="AP32" s="4">
        <f>+'BUDGET 2001'!M102*0.25</f>
        <v>225</v>
      </c>
      <c r="AR32" s="4"/>
      <c r="AS32" s="4"/>
      <c r="AT32" s="4"/>
      <c r="AU32" s="4"/>
      <c r="AV32" s="4"/>
      <c r="AW32" s="4"/>
      <c r="AX32" s="5">
        <f t="shared" si="0"/>
        <v>900</v>
      </c>
      <c r="AY32" s="1"/>
      <c r="AZ32" s="6"/>
      <c r="BA32" s="7" t="e">
        <f t="shared" si="1"/>
        <v>#DIV/0!</v>
      </c>
      <c r="BB32" s="6"/>
    </row>
    <row r="33" spans="1:54" ht="12.75">
      <c r="A33" s="12" t="s">
        <v>56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5">
        <f t="shared" si="6"/>
        <v>0</v>
      </c>
      <c r="AE33" s="5"/>
      <c r="AF33" s="5"/>
      <c r="AG33" s="5"/>
      <c r="AH33" s="5"/>
      <c r="AI33" s="5"/>
      <c r="AJ33" s="4"/>
      <c r="AK33" s="4"/>
      <c r="AL33" s="4"/>
      <c r="AM33" s="4"/>
      <c r="AN33" s="4"/>
      <c r="AO33" s="4"/>
      <c r="AP33" s="4">
        <f>+'BUDGET 2001'!M47</f>
        <v>870</v>
      </c>
      <c r="AQ33" s="4"/>
      <c r="AR33" s="4"/>
      <c r="AS33" s="4"/>
      <c r="AT33" s="4"/>
      <c r="AU33" s="4"/>
      <c r="AV33" s="4"/>
      <c r="AW33" s="4"/>
      <c r="AX33" s="5">
        <f t="shared" si="0"/>
        <v>870</v>
      </c>
      <c r="AY33" s="1"/>
      <c r="AZ33" s="6"/>
      <c r="BA33" s="7" t="e">
        <f t="shared" si="1"/>
        <v>#DIV/0!</v>
      </c>
      <c r="BB33" s="6"/>
    </row>
    <row r="34" spans="1:54" ht="12.75">
      <c r="A34" s="12" t="s">
        <v>57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5">
        <f t="shared" si="6"/>
        <v>0</v>
      </c>
      <c r="AE34" s="5"/>
      <c r="AF34" s="5"/>
      <c r="AG34" s="5"/>
      <c r="AH34" s="5"/>
      <c r="AI34" s="5"/>
      <c r="AJ34" s="4"/>
      <c r="AK34" s="4"/>
      <c r="AL34" s="4"/>
      <c r="AM34" s="4"/>
      <c r="AN34" s="4"/>
      <c r="AO34" s="4"/>
      <c r="AP34" s="4">
        <f>+'BUDGET 2001'!M55</f>
        <v>210</v>
      </c>
      <c r="AQ34" s="4"/>
      <c r="AR34" s="4"/>
      <c r="AS34" s="4"/>
      <c r="AT34" s="4"/>
      <c r="AU34" s="4"/>
      <c r="AV34" s="4"/>
      <c r="AW34" s="4"/>
      <c r="AX34" s="5">
        <f t="shared" si="0"/>
        <v>210</v>
      </c>
      <c r="AY34" s="1"/>
      <c r="AZ34" s="6"/>
      <c r="BA34" s="15" t="e">
        <f t="shared" si="1"/>
        <v>#DIV/0!</v>
      </c>
      <c r="BB34" s="6"/>
    </row>
    <row r="35" spans="1:54" ht="12.75">
      <c r="A35" s="12" t="s">
        <v>58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5">
        <f t="shared" si="6"/>
        <v>0</v>
      </c>
      <c r="AE35" s="5"/>
      <c r="AF35" s="5"/>
      <c r="AG35" s="5"/>
      <c r="AH35" s="5"/>
      <c r="AI35" s="5"/>
      <c r="AJ35" s="4"/>
      <c r="AK35" s="4"/>
      <c r="AL35" s="4"/>
      <c r="AM35" s="4"/>
      <c r="AN35" s="4"/>
      <c r="AO35" s="4"/>
      <c r="AP35" s="4">
        <f>+'BUDGET 2001'!M49</f>
        <v>550</v>
      </c>
      <c r="AQ35" s="4"/>
      <c r="AR35" s="4"/>
      <c r="AS35" s="4"/>
      <c r="AT35" s="4"/>
      <c r="AU35" s="4"/>
      <c r="AV35" s="4"/>
      <c r="AW35" s="4"/>
      <c r="AX35" s="5">
        <f t="shared" si="0"/>
        <v>550</v>
      </c>
      <c r="AY35" s="1"/>
      <c r="AZ35" s="6"/>
      <c r="BA35" s="15" t="e">
        <f t="shared" si="1"/>
        <v>#DIV/0!</v>
      </c>
      <c r="BB35" s="6"/>
    </row>
    <row r="36" spans="1:54" ht="12.75">
      <c r="A36" s="12" t="s">
        <v>59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5">
        <f t="shared" si="6"/>
        <v>0</v>
      </c>
      <c r="AE36" s="5"/>
      <c r="AF36" s="5"/>
      <c r="AG36" s="5"/>
      <c r="AH36" s="5"/>
      <c r="AI36" s="5"/>
      <c r="AJ36" s="4"/>
      <c r="AK36" s="4"/>
      <c r="AL36" s="4"/>
      <c r="AM36" s="4"/>
      <c r="AN36" s="4"/>
      <c r="AO36" s="4"/>
      <c r="AP36" s="4">
        <f>+'BUDGET 2001'!M57</f>
        <v>70</v>
      </c>
      <c r="AQ36" s="4"/>
      <c r="AR36" s="4"/>
      <c r="AS36" s="4"/>
      <c r="AT36" s="4"/>
      <c r="AU36" s="4"/>
      <c r="AV36" s="4"/>
      <c r="AW36" s="4"/>
      <c r="AX36" s="5">
        <f t="shared" si="0"/>
        <v>70</v>
      </c>
      <c r="AY36" s="1"/>
      <c r="AZ36" s="6"/>
      <c r="BA36" s="15" t="e">
        <f t="shared" si="1"/>
        <v>#DIV/0!</v>
      </c>
      <c r="BB36" s="6"/>
    </row>
    <row r="37" spans="1:54" ht="12.75">
      <c r="A37" s="12" t="s">
        <v>60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5">
        <f t="shared" si="6"/>
        <v>0</v>
      </c>
      <c r="AE37" s="5"/>
      <c r="AF37" s="5"/>
      <c r="AG37" s="5"/>
      <c r="AH37" s="5"/>
      <c r="AI37" s="5"/>
      <c r="AJ37" s="4"/>
      <c r="AK37" s="4"/>
      <c r="AL37" s="4"/>
      <c r="AM37" s="4"/>
      <c r="AN37" s="4"/>
      <c r="AO37" s="4"/>
      <c r="AP37" s="4">
        <f>+'BUDGET 2001'!M50</f>
        <v>450</v>
      </c>
      <c r="AQ37" s="4">
        <f>+'BUDGET 2001'!M100+'BUDGET 2001'!M101</f>
        <v>400</v>
      </c>
      <c r="AR37" s="4"/>
      <c r="AS37" s="4"/>
      <c r="AT37" s="4"/>
      <c r="AU37" s="4"/>
      <c r="AV37" s="4"/>
      <c r="AW37" s="4"/>
      <c r="AX37" s="5">
        <f t="shared" si="0"/>
        <v>850</v>
      </c>
      <c r="AY37" s="1"/>
      <c r="AZ37" s="6"/>
      <c r="BA37" s="15" t="e">
        <f t="shared" si="1"/>
        <v>#DIV/0!</v>
      </c>
      <c r="BB37" s="6"/>
    </row>
    <row r="38" spans="1:54" ht="12.75">
      <c r="A38" s="4" t="s">
        <v>61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5">
        <f t="shared" si="6"/>
        <v>0</v>
      </c>
      <c r="AE38" s="5"/>
      <c r="AF38" s="5"/>
      <c r="AG38" s="5"/>
      <c r="AH38" s="5"/>
      <c r="AI38" s="5"/>
      <c r="AJ38" s="4"/>
      <c r="AK38" s="4"/>
      <c r="AL38" s="4"/>
      <c r="AM38" s="4"/>
      <c r="AN38" s="4"/>
      <c r="AO38" s="4">
        <f>+'BUDGET 2001'!M53</f>
        <v>250</v>
      </c>
      <c r="AP38" s="4"/>
      <c r="AQ38" s="4"/>
      <c r="AR38" s="4"/>
      <c r="AS38" s="4"/>
      <c r="AT38" s="4"/>
      <c r="AU38" s="4"/>
      <c r="AV38" s="4"/>
      <c r="AW38" s="4"/>
      <c r="AX38" s="5">
        <f t="shared" si="0"/>
        <v>250</v>
      </c>
      <c r="AY38" s="1"/>
      <c r="AZ38" s="6"/>
      <c r="BA38" s="15" t="e">
        <f t="shared" si="1"/>
        <v>#DIV/0!</v>
      </c>
      <c r="BB38" s="6"/>
    </row>
    <row r="39" spans="1:54" ht="12.75">
      <c r="A39" s="5" t="s">
        <v>62</v>
      </c>
      <c r="B39" s="5">
        <f aca="true" t="shared" si="14" ref="B39:AD39">SUM(B27:B38)</f>
        <v>20.833333333333336</v>
      </c>
      <c r="C39" s="5">
        <f t="shared" si="14"/>
        <v>0</v>
      </c>
      <c r="D39" s="5">
        <f t="shared" si="14"/>
        <v>20.833333333333336</v>
      </c>
      <c r="E39" s="5">
        <f t="shared" si="14"/>
        <v>20.833333333333336</v>
      </c>
      <c r="F39" s="5">
        <f t="shared" si="14"/>
        <v>0</v>
      </c>
      <c r="G39" s="5">
        <f t="shared" si="14"/>
        <v>0</v>
      </c>
      <c r="H39" s="5">
        <f t="shared" si="14"/>
        <v>0</v>
      </c>
      <c r="I39" s="5">
        <f t="shared" si="14"/>
        <v>0</v>
      </c>
      <c r="J39" s="5">
        <f t="shared" si="14"/>
        <v>0</v>
      </c>
      <c r="K39" s="5">
        <f t="shared" si="14"/>
        <v>20.833333333333336</v>
      </c>
      <c r="L39" s="5">
        <f t="shared" si="14"/>
        <v>0</v>
      </c>
      <c r="M39" s="5">
        <f t="shared" si="14"/>
        <v>0</v>
      </c>
      <c r="N39" s="5">
        <f t="shared" si="14"/>
        <v>0</v>
      </c>
      <c r="O39" s="5">
        <f t="shared" si="14"/>
        <v>0</v>
      </c>
      <c r="P39" s="5">
        <f t="shared" si="14"/>
        <v>0</v>
      </c>
      <c r="Q39" s="5">
        <f t="shared" si="14"/>
        <v>0</v>
      </c>
      <c r="R39" s="5">
        <f t="shared" si="14"/>
        <v>0</v>
      </c>
      <c r="S39" s="5">
        <f t="shared" si="14"/>
        <v>0</v>
      </c>
      <c r="T39" s="5">
        <f t="shared" si="14"/>
        <v>0</v>
      </c>
      <c r="U39" s="5">
        <f t="shared" si="14"/>
        <v>0</v>
      </c>
      <c r="V39" s="5">
        <f t="shared" si="14"/>
        <v>20.833333333333336</v>
      </c>
      <c r="W39" s="5">
        <f t="shared" si="14"/>
        <v>0</v>
      </c>
      <c r="X39" s="5">
        <f t="shared" si="14"/>
        <v>0</v>
      </c>
      <c r="Y39" s="5">
        <f t="shared" si="14"/>
        <v>0</v>
      </c>
      <c r="Z39" s="5">
        <f t="shared" si="14"/>
        <v>20.833333333333336</v>
      </c>
      <c r="AA39" s="5">
        <f t="shared" si="14"/>
        <v>0</v>
      </c>
      <c r="AB39" s="5">
        <f t="shared" si="14"/>
        <v>0</v>
      </c>
      <c r="AC39" s="5">
        <f t="shared" si="14"/>
        <v>0</v>
      </c>
      <c r="AD39" s="5">
        <f t="shared" si="14"/>
        <v>325</v>
      </c>
      <c r="AE39" s="5">
        <f aca="true" t="shared" si="15" ref="AE39:AW39">SUM(AE27:AE38)</f>
        <v>9.63345864661654</v>
      </c>
      <c r="AF39" s="5">
        <f t="shared" si="15"/>
        <v>80.0733082706767</v>
      </c>
      <c r="AG39" s="5">
        <f t="shared" si="15"/>
        <v>320.29323308270676</v>
      </c>
      <c r="AH39" s="5"/>
      <c r="AI39" s="5">
        <f t="shared" si="15"/>
        <v>0</v>
      </c>
      <c r="AJ39" s="5">
        <f t="shared" si="15"/>
        <v>410</v>
      </c>
      <c r="AK39" s="5">
        <f t="shared" si="15"/>
        <v>0</v>
      </c>
      <c r="AL39" s="5">
        <f t="shared" si="15"/>
        <v>0</v>
      </c>
      <c r="AM39" s="5">
        <f t="shared" si="15"/>
        <v>700</v>
      </c>
      <c r="AN39" s="5">
        <f t="shared" si="15"/>
        <v>100</v>
      </c>
      <c r="AO39" s="5">
        <f t="shared" si="15"/>
        <v>925</v>
      </c>
      <c r="AP39" s="5">
        <f t="shared" si="15"/>
        <v>2375</v>
      </c>
      <c r="AQ39" s="5">
        <f t="shared" si="15"/>
        <v>550</v>
      </c>
      <c r="AR39" s="5">
        <f t="shared" si="15"/>
        <v>400</v>
      </c>
      <c r="AS39" s="5">
        <f t="shared" si="15"/>
        <v>125</v>
      </c>
      <c r="AT39" s="5">
        <f t="shared" si="15"/>
        <v>0</v>
      </c>
      <c r="AU39" s="5">
        <f t="shared" si="15"/>
        <v>210</v>
      </c>
      <c r="AV39" s="5">
        <f t="shared" si="15"/>
        <v>200</v>
      </c>
      <c r="AW39" s="5">
        <f t="shared" si="15"/>
        <v>0</v>
      </c>
      <c r="AX39" s="5">
        <f t="shared" si="0"/>
        <v>6320</v>
      </c>
      <c r="AY39" s="1"/>
      <c r="AZ39" s="9"/>
      <c r="BA39" s="10" t="e">
        <f t="shared" si="1"/>
        <v>#DIV/0!</v>
      </c>
      <c r="BB39" s="6"/>
    </row>
    <row r="40" spans="1:5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5">
        <f t="shared" si="6"/>
        <v>0</v>
      </c>
      <c r="AE40" s="5"/>
      <c r="AF40" s="5"/>
      <c r="AG40" s="5"/>
      <c r="AH40" s="5"/>
      <c r="AI40" s="5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5">
        <f t="shared" si="0"/>
        <v>0</v>
      </c>
      <c r="AY40" s="1"/>
      <c r="AZ40" s="6"/>
      <c r="BA40" s="7"/>
      <c r="BB40" s="6"/>
    </row>
    <row r="41" spans="1:54" ht="12.75">
      <c r="A41" s="16" t="s">
        <v>63</v>
      </c>
      <c r="B41" s="17">
        <f aca="true" t="shared" si="16" ref="B41:AC41">B7+B11+B17+B22+B26+B39</f>
        <v>113.73010378419812</v>
      </c>
      <c r="C41" s="17">
        <f t="shared" si="16"/>
        <v>109.00874627134715</v>
      </c>
      <c r="D41" s="17">
        <f t="shared" si="16"/>
        <v>66.53580959890817</v>
      </c>
      <c r="E41" s="17">
        <f t="shared" si="16"/>
        <v>127.68767715689967</v>
      </c>
      <c r="F41" s="17">
        <f t="shared" si="16"/>
        <v>23.73985125216461</v>
      </c>
      <c r="G41" s="17">
        <f t="shared" si="16"/>
        <v>21.962625013410232</v>
      </c>
      <c r="H41" s="17">
        <f t="shared" si="16"/>
        <v>223.97382346305463</v>
      </c>
      <c r="I41" s="17">
        <f t="shared" si="16"/>
        <v>7.220215654580233</v>
      </c>
      <c r="J41" s="17">
        <f t="shared" si="16"/>
        <v>0</v>
      </c>
      <c r="K41" s="17">
        <f t="shared" si="16"/>
        <v>20.833333333333336</v>
      </c>
      <c r="L41" s="17">
        <f t="shared" si="16"/>
        <v>50.77657433768939</v>
      </c>
      <c r="M41" s="17">
        <f t="shared" si="16"/>
        <v>55.8423875444888</v>
      </c>
      <c r="N41" s="17">
        <f t="shared" si="16"/>
        <v>0</v>
      </c>
      <c r="O41" s="17">
        <f t="shared" si="16"/>
        <v>40.750629651523056</v>
      </c>
      <c r="P41" s="17">
        <f t="shared" si="16"/>
        <v>2.154402447780816</v>
      </c>
      <c r="Q41" s="17">
        <f t="shared" si="16"/>
        <v>0</v>
      </c>
      <c r="R41" s="17">
        <f t="shared" si="16"/>
        <v>40.98601159291118</v>
      </c>
      <c r="S41" s="17">
        <f t="shared" si="16"/>
        <v>43.54807381779403</v>
      </c>
      <c r="T41" s="17">
        <f t="shared" si="16"/>
        <v>304.93391358667554</v>
      </c>
      <c r="U41" s="17">
        <f t="shared" si="16"/>
        <v>57.99678999226962</v>
      </c>
      <c r="V41" s="17">
        <f t="shared" si="16"/>
        <v>165.09969346272655</v>
      </c>
      <c r="W41" s="17">
        <f t="shared" si="16"/>
        <v>182.63017847069258</v>
      </c>
      <c r="X41" s="17">
        <f t="shared" si="16"/>
        <v>148.97453993674173</v>
      </c>
      <c r="Y41" s="17">
        <f t="shared" si="16"/>
        <v>68.02273467843597</v>
      </c>
      <c r="Z41" s="17">
        <f t="shared" si="16"/>
        <v>20.833333333333336</v>
      </c>
      <c r="AA41" s="17">
        <f t="shared" si="16"/>
        <v>4.716464672663659</v>
      </c>
      <c r="AB41" s="17">
        <f t="shared" si="16"/>
        <v>101.4948374324125</v>
      </c>
      <c r="AC41" s="17">
        <f t="shared" si="16"/>
        <v>38.721451740750275</v>
      </c>
      <c r="AD41" s="17">
        <f aca="true" t="shared" si="17" ref="AD41:AW41">AD7+AD11+AD17+AD22+AD26+AD39</f>
        <v>4282.40824373553</v>
      </c>
      <c r="AE41" s="17">
        <f t="shared" si="17"/>
        <v>318.689838802247</v>
      </c>
      <c r="AF41" s="17">
        <f t="shared" si="17"/>
        <v>878.394308258519</v>
      </c>
      <c r="AG41" s="17">
        <f t="shared" si="17"/>
        <v>3395.4485596090763</v>
      </c>
      <c r="AH41" s="17"/>
      <c r="AI41" s="17">
        <f t="shared" si="17"/>
        <v>331.1621911922664</v>
      </c>
      <c r="AJ41" s="17">
        <f t="shared" si="17"/>
        <v>4681.275993458242</v>
      </c>
      <c r="AK41" s="17">
        <f t="shared" si="17"/>
        <v>1676.6110736715316</v>
      </c>
      <c r="AL41" s="17">
        <f t="shared" si="17"/>
        <v>0</v>
      </c>
      <c r="AM41" s="17">
        <f t="shared" si="17"/>
        <v>813.9043950275365</v>
      </c>
      <c r="AN41" s="17">
        <f t="shared" si="17"/>
        <v>100</v>
      </c>
      <c r="AO41" s="17">
        <f t="shared" si="17"/>
        <v>2463.9154483658704</v>
      </c>
      <c r="AP41" s="17">
        <f t="shared" si="17"/>
        <v>2375</v>
      </c>
      <c r="AQ41" s="17">
        <f t="shared" si="17"/>
        <v>1199.911356038214</v>
      </c>
      <c r="AR41" s="17">
        <f t="shared" si="17"/>
        <v>1504.0418410391458</v>
      </c>
      <c r="AS41" s="17">
        <f t="shared" si="17"/>
        <v>667.8429745827248</v>
      </c>
      <c r="AT41" s="17">
        <f t="shared" si="17"/>
        <v>613.265845295074</v>
      </c>
      <c r="AU41" s="17">
        <f t="shared" si="17"/>
        <v>397.36710552245205</v>
      </c>
      <c r="AV41" s="17">
        <f t="shared" si="17"/>
        <v>496.1821558193888</v>
      </c>
      <c r="AW41" s="17">
        <f t="shared" si="17"/>
        <v>190.87352898322007</v>
      </c>
      <c r="AX41" s="5">
        <f t="shared" si="0"/>
        <v>21462.59996153893</v>
      </c>
      <c r="AY41" s="1"/>
      <c r="AZ41" s="17"/>
      <c r="BA41" s="18" t="e">
        <f t="shared" si="1"/>
        <v>#DIV/0!</v>
      </c>
      <c r="BB41" s="6"/>
    </row>
    <row r="42" spans="30:55" s="6" customFormat="1" ht="12.75">
      <c r="AD42" s="5">
        <f t="shared" si="6"/>
        <v>0</v>
      </c>
      <c r="AE42" s="5"/>
      <c r="AF42" s="5"/>
      <c r="AG42" s="5"/>
      <c r="AH42" s="5"/>
      <c r="AI42" s="5"/>
      <c r="AX42" s="5">
        <f t="shared" si="0"/>
        <v>0</v>
      </c>
      <c r="AY42" s="1"/>
      <c r="BA42" s="18"/>
      <c r="BC42" s="19"/>
    </row>
    <row r="43" spans="1:53" s="6" customFormat="1" ht="12.75">
      <c r="A43" s="9" t="s">
        <v>64</v>
      </c>
      <c r="AD43" s="5">
        <f t="shared" si="6"/>
        <v>0</v>
      </c>
      <c r="AE43" s="5"/>
      <c r="AF43" s="5"/>
      <c r="AG43" s="5"/>
      <c r="AH43" s="5"/>
      <c r="AI43" s="5"/>
      <c r="AJ43" s="4"/>
      <c r="AX43" s="5">
        <f t="shared" si="0"/>
        <v>0</v>
      </c>
      <c r="AY43" s="1"/>
      <c r="BA43" s="18"/>
    </row>
    <row r="44" spans="30:53" s="6" customFormat="1" ht="12.75">
      <c r="AD44" s="5">
        <f t="shared" si="6"/>
        <v>0</v>
      </c>
      <c r="AE44" s="5"/>
      <c r="AF44" s="5"/>
      <c r="AG44" s="5"/>
      <c r="AH44" s="5"/>
      <c r="AI44" s="5"/>
      <c r="AX44" s="5">
        <f t="shared" si="0"/>
        <v>0</v>
      </c>
      <c r="AY44" s="1"/>
      <c r="BA44" s="18"/>
    </row>
    <row r="45" spans="1:53" s="6" customFormat="1" ht="12.75">
      <c r="A45" s="9" t="s">
        <v>65</v>
      </c>
      <c r="AB45" s="275"/>
      <c r="AC45" s="275"/>
      <c r="AD45" s="5">
        <f t="shared" si="6"/>
        <v>0</v>
      </c>
      <c r="AE45" s="5"/>
      <c r="AF45" s="5"/>
      <c r="AG45" s="5"/>
      <c r="AH45" s="5"/>
      <c r="AI45" s="5"/>
      <c r="AX45" s="5">
        <v>1150</v>
      </c>
      <c r="AY45" s="1"/>
      <c r="BA45" s="20" t="e">
        <f t="shared" si="1"/>
        <v>#DIV/0!</v>
      </c>
    </row>
    <row r="46" spans="1:53" s="6" customFormat="1" ht="12.75">
      <c r="A46" s="9" t="s">
        <v>387</v>
      </c>
      <c r="AB46" s="275"/>
      <c r="AC46" s="275"/>
      <c r="AD46" s="5">
        <f t="shared" si="6"/>
        <v>0</v>
      </c>
      <c r="AE46" s="5"/>
      <c r="AF46" s="5"/>
      <c r="AG46" s="5"/>
      <c r="AH46" s="5"/>
      <c r="AI46" s="5"/>
      <c r="AJ46" s="416">
        <f>+'BUDGET 2001'!M13</f>
        <v>3070</v>
      </c>
      <c r="AL46" s="416">
        <f>+'BUDGET 2001'!M14</f>
        <v>0</v>
      </c>
      <c r="AX46" s="5">
        <f>SUM(AJ46:AW46)+AD46</f>
        <v>3070</v>
      </c>
      <c r="AY46" s="1"/>
      <c r="BA46" s="20" t="e">
        <f t="shared" si="1"/>
        <v>#DIV/0!</v>
      </c>
    </row>
    <row r="47" spans="1:53" s="6" customFormat="1" ht="12.75">
      <c r="A47" s="9" t="s">
        <v>67</v>
      </c>
      <c r="AB47" s="275"/>
      <c r="AC47" s="275"/>
      <c r="AD47" s="5">
        <f t="shared" si="6"/>
        <v>0</v>
      </c>
      <c r="AE47" s="5"/>
      <c r="AF47" s="5"/>
      <c r="AG47" s="5"/>
      <c r="AH47" s="5"/>
      <c r="AI47" s="5"/>
      <c r="AX47" s="5">
        <f>SUM(AJ47:AW47)+AD47</f>
        <v>0</v>
      </c>
      <c r="AY47" s="1"/>
      <c r="BA47" s="20" t="e">
        <f t="shared" si="1"/>
        <v>#DIV/0!</v>
      </c>
    </row>
    <row r="48" spans="1:53" s="6" customFormat="1" ht="12.75">
      <c r="A48" s="497" t="s">
        <v>472</v>
      </c>
      <c r="AD48" s="5">
        <f t="shared" si="6"/>
        <v>0</v>
      </c>
      <c r="AE48" s="5"/>
      <c r="AF48" s="5"/>
      <c r="AG48" s="5"/>
      <c r="AH48" s="5"/>
      <c r="AI48" s="5"/>
      <c r="AM48" s="416">
        <f>+'BUDGET 2001'!M22</f>
        <v>880</v>
      </c>
      <c r="AX48" s="5">
        <f>SUM(AJ48:AW48)+AD48</f>
        <v>880</v>
      </c>
      <c r="AY48" s="1"/>
      <c r="BA48" s="18"/>
    </row>
    <row r="49" spans="1:53" s="6" customFormat="1" ht="12.75">
      <c r="A49" s="9" t="s">
        <v>469</v>
      </c>
      <c r="AD49" s="5"/>
      <c r="AE49" s="5"/>
      <c r="AF49" s="5"/>
      <c r="AG49" s="5"/>
      <c r="AH49" s="5"/>
      <c r="AI49" s="5"/>
      <c r="AN49" s="416">
        <f>+'BUDGET 2001'!M23</f>
        <v>100</v>
      </c>
      <c r="AX49" s="5">
        <f>SUM(AJ49:AW49)+AD49</f>
        <v>100</v>
      </c>
      <c r="AY49" s="1"/>
      <c r="BA49" s="18"/>
    </row>
    <row r="50" spans="1:53" s="6" customFormat="1" ht="12.75">
      <c r="A50" s="9" t="s">
        <v>68</v>
      </c>
      <c r="B50" s="6">
        <f>SUM(B45:B49)</f>
        <v>0</v>
      </c>
      <c r="C50" s="6">
        <f aca="true" t="shared" si="18" ref="C50:Q50">SUM(C45:C49)</f>
        <v>0</v>
      </c>
      <c r="D50" s="6">
        <f t="shared" si="18"/>
        <v>0</v>
      </c>
      <c r="E50" s="6">
        <f t="shared" si="18"/>
        <v>0</v>
      </c>
      <c r="F50" s="6">
        <f t="shared" si="18"/>
        <v>0</v>
      </c>
      <c r="G50" s="6">
        <f t="shared" si="18"/>
        <v>0</v>
      </c>
      <c r="H50" s="6">
        <f t="shared" si="18"/>
        <v>0</v>
      </c>
      <c r="I50" s="6">
        <f t="shared" si="18"/>
        <v>0</v>
      </c>
      <c r="J50" s="6">
        <f t="shared" si="18"/>
        <v>0</v>
      </c>
      <c r="K50" s="6">
        <f t="shared" si="18"/>
        <v>0</v>
      </c>
      <c r="L50" s="6">
        <f t="shared" si="18"/>
        <v>0</v>
      </c>
      <c r="M50" s="6">
        <f t="shared" si="18"/>
        <v>0</v>
      </c>
      <c r="N50" s="6">
        <f t="shared" si="18"/>
        <v>0</v>
      </c>
      <c r="O50" s="6">
        <f t="shared" si="18"/>
        <v>0</v>
      </c>
      <c r="P50" s="6">
        <f t="shared" si="18"/>
        <v>0</v>
      </c>
      <c r="Q50" s="6">
        <f t="shared" si="18"/>
        <v>0</v>
      </c>
      <c r="R50" s="6">
        <f aca="true" t="shared" si="19" ref="R50:AC50">SUM(R45:R49)</f>
        <v>0</v>
      </c>
      <c r="S50" s="6">
        <f t="shared" si="19"/>
        <v>0</v>
      </c>
      <c r="T50" s="6">
        <f t="shared" si="19"/>
        <v>0</v>
      </c>
      <c r="U50" s="6">
        <f t="shared" si="19"/>
        <v>0</v>
      </c>
      <c r="V50" s="6">
        <f t="shared" si="19"/>
        <v>0</v>
      </c>
      <c r="W50" s="6">
        <f t="shared" si="19"/>
        <v>0</v>
      </c>
      <c r="X50" s="6">
        <f t="shared" si="19"/>
        <v>0</v>
      </c>
      <c r="Y50" s="6">
        <f t="shared" si="19"/>
        <v>0</v>
      </c>
      <c r="Z50" s="6">
        <f t="shared" si="19"/>
        <v>0</v>
      </c>
      <c r="AA50" s="6">
        <f t="shared" si="19"/>
        <v>0</v>
      </c>
      <c r="AB50" s="6">
        <f t="shared" si="19"/>
        <v>0</v>
      </c>
      <c r="AC50" s="6">
        <f t="shared" si="19"/>
        <v>0</v>
      </c>
      <c r="AD50" s="5">
        <f t="shared" si="6"/>
        <v>0</v>
      </c>
      <c r="AE50" s="5"/>
      <c r="AF50" s="5"/>
      <c r="AG50" s="5"/>
      <c r="AH50" s="5"/>
      <c r="AI50" s="5"/>
      <c r="AJ50" s="6">
        <f>SUM(AJ45:AJ49)</f>
        <v>3070</v>
      </c>
      <c r="AK50" s="6">
        <f aca="true" t="shared" si="20" ref="AK50:AP50">SUM(AK45:AK49)</f>
        <v>0</v>
      </c>
      <c r="AL50" s="6">
        <f t="shared" si="20"/>
        <v>0</v>
      </c>
      <c r="AM50" s="6">
        <f t="shared" si="20"/>
        <v>880</v>
      </c>
      <c r="AN50" s="6">
        <f t="shared" si="20"/>
        <v>100</v>
      </c>
      <c r="AO50" s="6">
        <f t="shared" si="20"/>
        <v>0</v>
      </c>
      <c r="AP50" s="6">
        <f t="shared" si="20"/>
        <v>0</v>
      </c>
      <c r="AQ50" s="6">
        <f aca="true" t="shared" si="21" ref="AQ50:AX50">SUM(AQ45:AQ49)</f>
        <v>0</v>
      </c>
      <c r="AR50" s="6">
        <f t="shared" si="21"/>
        <v>0</v>
      </c>
      <c r="AS50" s="6">
        <f t="shared" si="21"/>
        <v>0</v>
      </c>
      <c r="AT50" s="6">
        <f t="shared" si="21"/>
        <v>0</v>
      </c>
      <c r="AU50" s="6">
        <f t="shared" si="21"/>
        <v>0</v>
      </c>
      <c r="AV50" s="6">
        <f t="shared" si="21"/>
        <v>0</v>
      </c>
      <c r="AW50" s="6">
        <f t="shared" si="21"/>
        <v>0</v>
      </c>
      <c r="AX50" s="5">
        <f t="shared" si="21"/>
        <v>5200</v>
      </c>
      <c r="AY50" s="1">
        <f>SUM(AY45:AY48)</f>
        <v>0</v>
      </c>
      <c r="AZ50" s="9"/>
      <c r="BA50" s="20" t="e">
        <f t="shared" si="1"/>
        <v>#DIV/0!</v>
      </c>
    </row>
    <row r="51" spans="30:53" s="6" customFormat="1" ht="12.75">
      <c r="AD51" s="5">
        <f t="shared" si="6"/>
        <v>0</v>
      </c>
      <c r="AE51" s="5"/>
      <c r="AF51" s="5"/>
      <c r="AG51" s="5"/>
      <c r="AH51" s="5"/>
      <c r="AI51" s="5"/>
      <c r="AX51" s="5">
        <f>SUM(AJ51:AW51)+AD51</f>
        <v>0</v>
      </c>
      <c r="AY51" s="1"/>
      <c r="BA51" s="18"/>
    </row>
    <row r="52" spans="1:53" s="6" customFormat="1" ht="12.75">
      <c r="A52" s="9" t="s">
        <v>69</v>
      </c>
      <c r="B52" s="5">
        <f aca="true" t="shared" si="22" ref="B52:AY52">B41-B50</f>
        <v>113.73010378419812</v>
      </c>
      <c r="C52" s="5">
        <f t="shared" si="22"/>
        <v>109.00874627134715</v>
      </c>
      <c r="D52" s="5">
        <f t="shared" si="22"/>
        <v>66.53580959890817</v>
      </c>
      <c r="E52" s="5">
        <f t="shared" si="22"/>
        <v>127.68767715689967</v>
      </c>
      <c r="F52" s="5">
        <f t="shared" si="22"/>
        <v>23.73985125216461</v>
      </c>
      <c r="G52" s="5">
        <f t="shared" si="22"/>
        <v>21.962625013410232</v>
      </c>
      <c r="H52" s="5">
        <f t="shared" si="22"/>
        <v>223.97382346305463</v>
      </c>
      <c r="I52" s="5">
        <f t="shared" si="22"/>
        <v>7.220215654580233</v>
      </c>
      <c r="J52" s="5">
        <f t="shared" si="22"/>
        <v>0</v>
      </c>
      <c r="K52" s="5">
        <f t="shared" si="22"/>
        <v>20.833333333333336</v>
      </c>
      <c r="L52" s="5">
        <f t="shared" si="22"/>
        <v>50.77657433768939</v>
      </c>
      <c r="M52" s="5">
        <f t="shared" si="22"/>
        <v>55.8423875444888</v>
      </c>
      <c r="N52" s="5">
        <f t="shared" si="22"/>
        <v>0</v>
      </c>
      <c r="O52" s="5">
        <f t="shared" si="22"/>
        <v>40.750629651523056</v>
      </c>
      <c r="P52" s="5">
        <f t="shared" si="22"/>
        <v>2.154402447780816</v>
      </c>
      <c r="Q52" s="5">
        <f t="shared" si="22"/>
        <v>0</v>
      </c>
      <c r="R52" s="5">
        <f t="shared" si="22"/>
        <v>40.98601159291118</v>
      </c>
      <c r="S52" s="5">
        <f t="shared" si="22"/>
        <v>43.54807381779403</v>
      </c>
      <c r="T52" s="5">
        <f t="shared" si="22"/>
        <v>304.93391358667554</v>
      </c>
      <c r="U52" s="5">
        <f t="shared" si="22"/>
        <v>57.99678999226962</v>
      </c>
      <c r="V52" s="5">
        <f t="shared" si="22"/>
        <v>165.09969346272655</v>
      </c>
      <c r="W52" s="5">
        <f t="shared" si="22"/>
        <v>182.63017847069258</v>
      </c>
      <c r="X52" s="5">
        <f t="shared" si="22"/>
        <v>148.97453993674173</v>
      </c>
      <c r="Y52" s="5">
        <f t="shared" si="22"/>
        <v>68.02273467843597</v>
      </c>
      <c r="Z52" s="5">
        <f t="shared" si="22"/>
        <v>20.833333333333336</v>
      </c>
      <c r="AA52" s="5">
        <f t="shared" si="22"/>
        <v>4.716464672663659</v>
      </c>
      <c r="AB52" s="5">
        <f t="shared" si="22"/>
        <v>101.4948374324125</v>
      </c>
      <c r="AC52" s="5">
        <f t="shared" si="22"/>
        <v>38.721451740750275</v>
      </c>
      <c r="AD52" s="5">
        <f t="shared" si="6"/>
        <v>2042.1742022267852</v>
      </c>
      <c r="AE52" s="5"/>
      <c r="AF52" s="5"/>
      <c r="AG52" s="5"/>
      <c r="AH52" s="5"/>
      <c r="AI52" s="5"/>
      <c r="AJ52" s="5">
        <f t="shared" si="22"/>
        <v>1611.2759934582418</v>
      </c>
      <c r="AK52" s="5">
        <f t="shared" si="22"/>
        <v>1676.6110736715316</v>
      </c>
      <c r="AL52" s="5">
        <f>AL41-AL50</f>
        <v>0</v>
      </c>
      <c r="AM52" s="5">
        <f>AM41-AM50</f>
        <v>-66.09560497246355</v>
      </c>
      <c r="AN52" s="5">
        <f>AN41-AN50</f>
        <v>0</v>
      </c>
      <c r="AO52" s="5">
        <f t="shared" si="22"/>
        <v>2463.9154483658704</v>
      </c>
      <c r="AP52" s="5">
        <f t="shared" si="22"/>
        <v>2375</v>
      </c>
      <c r="AQ52" s="5">
        <f>AQ41-AQ50</f>
        <v>1199.911356038214</v>
      </c>
      <c r="AR52" s="5">
        <f t="shared" si="22"/>
        <v>1504.0418410391458</v>
      </c>
      <c r="AS52" s="5">
        <f t="shared" si="22"/>
        <v>667.8429745827248</v>
      </c>
      <c r="AT52" s="5">
        <f t="shared" si="22"/>
        <v>613.265845295074</v>
      </c>
      <c r="AU52" s="5">
        <f t="shared" si="22"/>
        <v>397.36710552245205</v>
      </c>
      <c r="AV52" s="5">
        <f t="shared" si="22"/>
        <v>496.1821558193888</v>
      </c>
      <c r="AW52" s="5">
        <f t="shared" si="22"/>
        <v>190.87352898322007</v>
      </c>
      <c r="AX52" s="5">
        <f>AX41-AX50</f>
        <v>16262.59996153893</v>
      </c>
      <c r="AY52" s="13">
        <f t="shared" si="22"/>
        <v>0</v>
      </c>
      <c r="AZ52" s="5"/>
      <c r="BA52" s="20" t="e">
        <f t="shared" si="1"/>
        <v>#DIV/0!</v>
      </c>
    </row>
    <row r="53" spans="2:63" s="6" customFormat="1" ht="12.75">
      <c r="B53" s="607"/>
      <c r="C53" s="608"/>
      <c r="D53" s="608"/>
      <c r="E53" s="608"/>
      <c r="F53" s="608"/>
      <c r="G53" s="608"/>
      <c r="H53" s="608"/>
      <c r="I53" s="608"/>
      <c r="J53" s="608"/>
      <c r="K53" s="608"/>
      <c r="L53" s="608"/>
      <c r="M53" s="608"/>
      <c r="N53" s="608"/>
      <c r="O53" s="608"/>
      <c r="P53" s="608"/>
      <c r="Q53" s="608"/>
      <c r="R53" s="608"/>
      <c r="S53" s="608"/>
      <c r="T53" s="608"/>
      <c r="U53" s="608"/>
      <c r="V53" s="608"/>
      <c r="W53" s="608"/>
      <c r="X53" s="608"/>
      <c r="Y53" s="608"/>
      <c r="Z53" s="608"/>
      <c r="AA53" s="609"/>
      <c r="AB53" s="192"/>
      <c r="AC53" s="192"/>
      <c r="AD53" s="9"/>
      <c r="AE53" s="425"/>
      <c r="AF53" s="425"/>
      <c r="AG53" s="425"/>
      <c r="AH53" s="425"/>
      <c r="AI53" s="425"/>
      <c r="AJ53" s="189"/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B53" s="190"/>
      <c r="BC53" s="190"/>
      <c r="BD53" s="190"/>
      <c r="BE53" s="190"/>
      <c r="BF53" s="190"/>
      <c r="BG53" s="190"/>
      <c r="BH53" s="190"/>
      <c r="BI53" s="190"/>
      <c r="BJ53" s="190"/>
      <c r="BK53" s="191"/>
    </row>
    <row r="54" spans="30:51" s="6" customFormat="1" ht="12.75">
      <c r="AD54" s="9"/>
      <c r="AE54" s="9"/>
      <c r="AF54" s="9"/>
      <c r="AG54" s="9"/>
      <c r="AH54" s="9"/>
      <c r="AI54" s="9"/>
      <c r="AY54" s="1"/>
    </row>
    <row r="55" spans="30:51" s="6" customFormat="1" ht="12.75">
      <c r="AD55" s="9"/>
      <c r="AE55" s="9"/>
      <c r="AF55" s="9"/>
      <c r="AG55" s="9"/>
      <c r="AH55" s="9"/>
      <c r="AI55" s="9"/>
      <c r="AY55" s="1"/>
    </row>
    <row r="56" spans="30:51" s="6" customFormat="1" ht="12.75">
      <c r="AD56" s="9"/>
      <c r="AE56" s="9"/>
      <c r="AF56" s="9"/>
      <c r="AG56" s="9"/>
      <c r="AH56" s="9"/>
      <c r="AI56" s="9"/>
      <c r="AY56" s="1"/>
    </row>
    <row r="57" spans="30:51" s="6" customFormat="1" ht="12.75">
      <c r="AD57" s="9"/>
      <c r="AE57" s="9"/>
      <c r="AF57" s="9"/>
      <c r="AG57" s="9"/>
      <c r="AH57" s="9"/>
      <c r="AI57" s="9"/>
      <c r="AY57" s="1"/>
    </row>
    <row r="58" spans="21:51" s="6" customFormat="1" ht="12.75">
      <c r="U58" s="21"/>
      <c r="AD58" s="9"/>
      <c r="AE58" s="9"/>
      <c r="AF58" s="9"/>
      <c r="AG58" s="9"/>
      <c r="AH58" s="9"/>
      <c r="AI58" s="9"/>
      <c r="AY58" s="1"/>
    </row>
    <row r="59" spans="30:51" s="6" customFormat="1" ht="12.75">
      <c r="AD59" s="9"/>
      <c r="AE59" s="9"/>
      <c r="AF59" s="9"/>
      <c r="AG59" s="9"/>
      <c r="AH59" s="9"/>
      <c r="AI59" s="9"/>
      <c r="AY59" s="1"/>
    </row>
    <row r="60" s="6" customFormat="1" ht="12.75"/>
    <row r="61" spans="30:51" s="6" customFormat="1" ht="12.75">
      <c r="AD61" s="9"/>
      <c r="AE61" s="9"/>
      <c r="AF61" s="9"/>
      <c r="AG61" s="9"/>
      <c r="AH61" s="9"/>
      <c r="AI61" s="9"/>
      <c r="AY61" s="1"/>
    </row>
    <row r="62" spans="30:51" s="6" customFormat="1" ht="12.75">
      <c r="AD62" s="9"/>
      <c r="AE62" s="9"/>
      <c r="AF62" s="9"/>
      <c r="AG62" s="9"/>
      <c r="AH62" s="9"/>
      <c r="AI62" s="9"/>
      <c r="AY62" s="1"/>
    </row>
    <row r="63" spans="30:51" s="6" customFormat="1" ht="12.75">
      <c r="AD63" s="9"/>
      <c r="AE63" s="9"/>
      <c r="AF63" s="9"/>
      <c r="AG63" s="9"/>
      <c r="AH63" s="9"/>
      <c r="AI63" s="9"/>
      <c r="AY63" s="1"/>
    </row>
  </sheetData>
  <mergeCells count="1">
    <mergeCell ref="B53:AA53"/>
  </mergeCells>
  <printOptions headings="1" horizontalCentered="1" verticalCentered="1"/>
  <pageMargins left="0.35433070866141736" right="0.62" top="0.5905511811023623" bottom="0.3937007874015748" header="0.31496062992125984" footer="0.5118110236220472"/>
  <pageSetup fitToWidth="2" fitToHeight="1" horizontalDpi="600" verticalDpi="600" orientation="landscape" paperSize="9" scale="71" r:id="rId1"/>
  <headerFooter alignWithMargins="0">
    <oddHeader>&amp;C&amp;"Arial,Bold"&amp;14TABLE 1 : Primary costs and specific funding of each cost center   (Page &amp;P)</oddHeader>
  </headerFooter>
  <colBreaks count="1" manualBreakCount="1">
    <brk id="28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tabSelected="1" workbookViewId="0" topLeftCell="E2">
      <pane xSplit="4170" ySplit="2565" topLeftCell="U26" activePane="bottomRight" state="split"/>
      <selection pane="topLeft" activeCell="A2" sqref="A1:A16384"/>
      <selection pane="topRight" activeCell="I2" sqref="I1:M16384"/>
      <selection pane="bottomLeft" activeCell="A48" sqref="A48:IV48"/>
      <selection pane="bottomRight" activeCell="N48" sqref="N48"/>
    </sheetView>
  </sheetViews>
  <sheetFormatPr defaultColWidth="9.140625" defaultRowHeight="12.75" outlineLevelCol="2"/>
  <cols>
    <col min="1" max="1" width="3.421875" style="41" customWidth="1"/>
    <col min="2" max="2" width="3.28125" style="0" customWidth="1"/>
    <col min="3" max="3" width="3.8515625" style="0" customWidth="1"/>
    <col min="4" max="4" width="25.421875" style="0" customWidth="1"/>
    <col min="6" max="6" width="10.140625" style="0" customWidth="1"/>
    <col min="7" max="7" width="10.57421875" style="0" customWidth="1"/>
    <col min="9" max="10" width="9.140625" style="0" hidden="1" customWidth="1" outlineLevel="1"/>
    <col min="11" max="12" width="9.140625" style="0" hidden="1" customWidth="1" outlineLevel="2"/>
    <col min="13" max="13" width="9.140625" style="0" hidden="1" customWidth="1" outlineLevel="1" collapsed="1"/>
    <col min="14" max="14" width="9.140625" style="0" customWidth="1" collapsed="1"/>
    <col min="24" max="24" width="11.00390625" style="33" customWidth="1"/>
    <col min="25" max="25" width="11.57421875" style="0" customWidth="1"/>
  </cols>
  <sheetData>
    <row r="1" spans="1:26" s="33" customFormat="1" ht="15" customHeight="1" thickBot="1">
      <c r="A1" s="24"/>
      <c r="B1" s="25"/>
      <c r="C1" s="25"/>
      <c r="D1" s="26"/>
      <c r="E1" s="610" t="s">
        <v>467</v>
      </c>
      <c r="F1" s="611"/>
      <c r="G1" s="612"/>
      <c r="H1" s="28"/>
      <c r="I1" s="27"/>
      <c r="J1" s="27"/>
      <c r="K1" s="27"/>
      <c r="L1" s="27"/>
      <c r="M1" s="27"/>
      <c r="N1" s="29" t="s">
        <v>70</v>
      </c>
      <c r="O1" s="27"/>
      <c r="P1" s="27"/>
      <c r="Q1" s="27"/>
      <c r="R1" s="27"/>
      <c r="S1" s="27"/>
      <c r="T1" s="27"/>
      <c r="U1" s="27"/>
      <c r="V1" s="27"/>
      <c r="W1" s="27"/>
      <c r="X1" s="30"/>
      <c r="Y1" s="31"/>
      <c r="Z1" s="32"/>
    </row>
    <row r="2" spans="1:26" s="33" customFormat="1" ht="82.5" customHeight="1">
      <c r="A2" s="34" t="s">
        <v>71</v>
      </c>
      <c r="B2" s="35"/>
      <c r="C2" s="35"/>
      <c r="D2" s="35"/>
      <c r="E2" s="483" t="s">
        <v>28</v>
      </c>
      <c r="F2" s="484" t="s">
        <v>29</v>
      </c>
      <c r="G2" s="485" t="s">
        <v>31</v>
      </c>
      <c r="H2" s="426" t="s">
        <v>72</v>
      </c>
      <c r="I2" s="426" t="s">
        <v>407</v>
      </c>
      <c r="J2" s="426" t="s">
        <v>404</v>
      </c>
      <c r="K2" s="426" t="s">
        <v>66</v>
      </c>
      <c r="L2" s="426" t="s">
        <v>409</v>
      </c>
      <c r="M2" s="426" t="s">
        <v>66</v>
      </c>
      <c r="N2" s="590" t="s">
        <v>390</v>
      </c>
      <c r="O2" s="37" t="s">
        <v>27</v>
      </c>
      <c r="P2" s="38" t="s">
        <v>37</v>
      </c>
      <c r="Q2" s="38" t="s">
        <v>469</v>
      </c>
      <c r="R2" s="37" t="s">
        <v>30</v>
      </c>
      <c r="S2" s="37" t="s">
        <v>32</v>
      </c>
      <c r="T2" s="37" t="s">
        <v>33</v>
      </c>
      <c r="U2" s="37" t="s">
        <v>73</v>
      </c>
      <c r="V2" s="37" t="s">
        <v>35</v>
      </c>
      <c r="W2" s="38" t="s">
        <v>36</v>
      </c>
      <c r="X2" s="39" t="s">
        <v>74</v>
      </c>
      <c r="Y2" s="469" t="s">
        <v>411</v>
      </c>
      <c r="Z2" s="40"/>
    </row>
    <row r="3" spans="2:26" ht="12.75" customHeight="1">
      <c r="B3" s="42"/>
      <c r="C3" s="42"/>
      <c r="D3" s="42"/>
      <c r="E3" s="44"/>
      <c r="F3" s="45"/>
      <c r="G3" s="46"/>
      <c r="H3" s="478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4"/>
      <c r="X3" s="77"/>
      <c r="Y3" s="42"/>
      <c r="Z3" s="49"/>
    </row>
    <row r="4" spans="1:26" ht="12.75" customHeight="1">
      <c r="A4" s="50" t="s">
        <v>75</v>
      </c>
      <c r="B4" s="42"/>
      <c r="C4" s="42"/>
      <c r="D4" s="42"/>
      <c r="E4" s="44"/>
      <c r="F4" s="45"/>
      <c r="G4" s="46"/>
      <c r="H4" s="42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77"/>
      <c r="Y4" s="42"/>
      <c r="Z4" s="49"/>
    </row>
    <row r="5" spans="2:26" ht="12.75">
      <c r="B5" s="42" t="s">
        <v>76</v>
      </c>
      <c r="C5" s="42"/>
      <c r="D5" s="42"/>
      <c r="E5" s="116"/>
      <c r="F5" s="47"/>
      <c r="G5" s="119"/>
      <c r="H5" s="420"/>
      <c r="I5" s="47"/>
      <c r="J5" s="47"/>
      <c r="K5" s="47"/>
      <c r="L5" s="47"/>
      <c r="M5" s="47"/>
      <c r="N5" s="54"/>
      <c r="O5" s="54"/>
      <c r="P5" s="47"/>
      <c r="Q5" s="47"/>
      <c r="R5" s="47"/>
      <c r="S5" s="47"/>
      <c r="T5" s="47"/>
      <c r="U5" s="47"/>
      <c r="V5" s="47"/>
      <c r="W5" s="53"/>
      <c r="X5" s="77"/>
      <c r="Y5" s="42"/>
      <c r="Z5" s="49"/>
    </row>
    <row r="6" spans="2:26" ht="12.75">
      <c r="B6" s="42"/>
      <c r="C6" s="42" t="s">
        <v>77</v>
      </c>
      <c r="D6" s="42"/>
      <c r="E6" s="116"/>
      <c r="F6" s="47"/>
      <c r="G6" s="119"/>
      <c r="H6" s="479">
        <f>+'Table 1'!AD7</f>
        <v>1666.8</v>
      </c>
      <c r="I6" s="454">
        <f>+'Table 1'!AE7</f>
        <v>49.483082706766915</v>
      </c>
      <c r="J6" s="454">
        <f>+'Table 1'!AF7</f>
        <v>421.20000000000005</v>
      </c>
      <c r="K6" s="454">
        <f>+'Table 1'!AG7</f>
        <v>1635.316917293233</v>
      </c>
      <c r="L6" s="455">
        <f>+'Table 1'!AI7</f>
        <v>272</v>
      </c>
      <c r="M6" s="455">
        <f aca="true" t="shared" si="0" ref="M6:M37">SUM(K6:L6)</f>
        <v>1907.316917293233</v>
      </c>
      <c r="N6" s="454">
        <f>+'Table 1'!AJ7</f>
        <v>2106</v>
      </c>
      <c r="O6" s="454">
        <f>+'Table 1'!AK7</f>
        <v>1019.92</v>
      </c>
      <c r="P6" s="454">
        <f>+'Table 1'!AM7</f>
        <v>0</v>
      </c>
      <c r="Q6" s="454">
        <f>+'Table 1'!AN7</f>
        <v>0</v>
      </c>
      <c r="R6" s="454">
        <f>+'Table 1'!AR7</f>
        <v>0</v>
      </c>
      <c r="S6" s="454">
        <f>+'Table 1'!AS7</f>
        <v>0</v>
      </c>
      <c r="T6" s="454">
        <f>+'Table 1'!AT7</f>
        <v>0</v>
      </c>
      <c r="U6" s="454">
        <f>+'Table 1'!AU7</f>
        <v>0</v>
      </c>
      <c r="V6" s="454">
        <f>+'Table 1'!AV7</f>
        <v>0</v>
      </c>
      <c r="W6" s="465">
        <f>+'Table 1'!AW7</f>
        <v>0</v>
      </c>
      <c r="X6" s="456">
        <f>SUM(N6:W6)+H6</f>
        <v>4792.72</v>
      </c>
      <c r="Y6" s="55">
        <f>+X6+L6</f>
        <v>5064.72</v>
      </c>
      <c r="Z6" s="49"/>
    </row>
    <row r="7" spans="2:26" ht="12.75">
      <c r="B7" s="42"/>
      <c r="C7" s="417" t="s">
        <v>460</v>
      </c>
      <c r="D7" s="42"/>
      <c r="E7" s="51">
        <f>+'Table 1'!AO11</f>
        <v>0</v>
      </c>
      <c r="F7" s="47"/>
      <c r="G7" s="52">
        <f>+'Table 1'!AQ11</f>
        <v>0</v>
      </c>
      <c r="H7" s="480">
        <f>+'Table 1'!AD11</f>
        <v>0</v>
      </c>
      <c r="I7" s="454">
        <f>+'Table 1'!AE11</f>
        <v>22.086466165413533</v>
      </c>
      <c r="J7" s="454">
        <f>+'Table 1'!AF11</f>
        <v>188</v>
      </c>
      <c r="K7" s="454">
        <f>+'Table 1'!AG11</f>
        <v>729.9135338345865</v>
      </c>
      <c r="L7" s="454">
        <f>+'Table 1'!AI11</f>
        <v>0</v>
      </c>
      <c r="M7" s="585">
        <f t="shared" si="0"/>
        <v>729.9135338345865</v>
      </c>
      <c r="N7" s="454">
        <f>+'Table 1'!AJ11</f>
        <v>940</v>
      </c>
      <c r="O7" s="454">
        <f>+'Table 1'!AK11</f>
        <v>436.8149998176327</v>
      </c>
      <c r="P7" s="454">
        <f>+'Table 1'!AM11</f>
        <v>0</v>
      </c>
      <c r="Q7" s="454">
        <f>+'Table 1'!AN11</f>
        <v>0</v>
      </c>
      <c r="R7" s="454">
        <f>+'Table 1'!AR11</f>
        <v>0</v>
      </c>
      <c r="S7" s="454">
        <f>+'Table 1'!AS11</f>
        <v>0</v>
      </c>
      <c r="T7" s="454">
        <f>+'Table 1'!AT11</f>
        <v>0</v>
      </c>
      <c r="U7" s="454">
        <f>+'Table 1'!AU11</f>
        <v>0</v>
      </c>
      <c r="V7" s="454">
        <f>+'Table 1'!AV11</f>
        <v>0</v>
      </c>
      <c r="W7" s="465">
        <f>+'Table 1'!AW11</f>
        <v>0</v>
      </c>
      <c r="X7" s="456">
        <f>SUM(N7:W7)+H7</f>
        <v>1376.8149998176327</v>
      </c>
      <c r="Y7" s="55">
        <f>+X7</f>
        <v>1376.8149998176327</v>
      </c>
      <c r="Z7" s="49"/>
    </row>
    <row r="8" spans="2:26" ht="8.25" customHeight="1">
      <c r="B8" s="42"/>
      <c r="C8" s="417"/>
      <c r="D8" s="42"/>
      <c r="E8" s="51"/>
      <c r="F8" s="47"/>
      <c r="G8" s="52"/>
      <c r="H8" s="420"/>
      <c r="I8" s="47"/>
      <c r="J8" s="47"/>
      <c r="K8" s="47"/>
      <c r="L8" s="47"/>
      <c r="M8" s="585">
        <f t="shared" si="0"/>
        <v>0</v>
      </c>
      <c r="N8" s="47"/>
      <c r="O8" s="47"/>
      <c r="P8" s="47"/>
      <c r="Q8" s="47"/>
      <c r="R8" s="47"/>
      <c r="S8" s="47"/>
      <c r="T8" s="47"/>
      <c r="U8" s="47"/>
      <c r="V8" s="47"/>
      <c r="W8" s="53"/>
      <c r="X8" s="77"/>
      <c r="Y8" s="55"/>
      <c r="Z8" s="49"/>
    </row>
    <row r="9" spans="2:27" ht="12.75">
      <c r="B9" s="57" t="s">
        <v>410</v>
      </c>
      <c r="D9" s="42"/>
      <c r="E9" s="51">
        <f aca="true" t="shared" si="1" ref="E9:L9">SUM(E6:E7)</f>
        <v>0</v>
      </c>
      <c r="F9" s="47">
        <f t="shared" si="1"/>
        <v>0</v>
      </c>
      <c r="G9" s="52">
        <f t="shared" si="1"/>
        <v>0</v>
      </c>
      <c r="H9" s="420">
        <f t="shared" si="1"/>
        <v>1666.8</v>
      </c>
      <c r="I9" s="47">
        <f t="shared" si="1"/>
        <v>71.56954887218045</v>
      </c>
      <c r="J9" s="47">
        <f t="shared" si="1"/>
        <v>609.2</v>
      </c>
      <c r="K9" s="47">
        <f t="shared" si="1"/>
        <v>2365.2304511278194</v>
      </c>
      <c r="L9" s="47">
        <f t="shared" si="1"/>
        <v>272</v>
      </c>
      <c r="M9" s="585">
        <f t="shared" si="0"/>
        <v>2637.2304511278194</v>
      </c>
      <c r="N9" s="47">
        <f aca="true" t="shared" si="2" ref="N9:W9">SUM(N6:N7)</f>
        <v>3046</v>
      </c>
      <c r="O9" s="47">
        <f t="shared" si="2"/>
        <v>1456.7349998176328</v>
      </c>
      <c r="P9" s="47">
        <f t="shared" si="2"/>
        <v>0</v>
      </c>
      <c r="Q9" s="47">
        <f t="shared" si="2"/>
        <v>0</v>
      </c>
      <c r="R9" s="47">
        <f t="shared" si="2"/>
        <v>0</v>
      </c>
      <c r="S9" s="47">
        <f t="shared" si="2"/>
        <v>0</v>
      </c>
      <c r="T9" s="47">
        <f t="shared" si="2"/>
        <v>0</v>
      </c>
      <c r="U9" s="47">
        <f t="shared" si="2"/>
        <v>0</v>
      </c>
      <c r="V9" s="47">
        <f t="shared" si="2"/>
        <v>0</v>
      </c>
      <c r="W9" s="53">
        <f t="shared" si="2"/>
        <v>0</v>
      </c>
      <c r="X9" s="77">
        <f>SUM(N9:W9)+H9</f>
        <v>6169.5349998176325</v>
      </c>
      <c r="Y9" s="420">
        <f>SUM(Y6:Y7)</f>
        <v>6441.534999817633</v>
      </c>
      <c r="Z9" s="420"/>
      <c r="AA9" s="452"/>
    </row>
    <row r="10" spans="2:26" ht="12.75">
      <c r="B10" s="42" t="s">
        <v>49</v>
      </c>
      <c r="C10" s="42"/>
      <c r="D10" s="42"/>
      <c r="E10" s="51">
        <f>+'Table 1'!AO22</f>
        <v>0</v>
      </c>
      <c r="F10" s="47">
        <f>+'Table 1'!AP22</f>
        <v>0</v>
      </c>
      <c r="G10" s="52">
        <f>+'Table 1'!AQ22</f>
        <v>0</v>
      </c>
      <c r="H10" s="420">
        <f>+'Table 1'!AD22</f>
        <v>160</v>
      </c>
      <c r="I10" s="47">
        <f>+'Table 1'!AE22</f>
        <v>18.796992481203006</v>
      </c>
      <c r="J10" s="47">
        <f>+'Table 1'!AF22</f>
        <v>160</v>
      </c>
      <c r="K10" s="47">
        <f>+'Table 1'!AG22</f>
        <v>532.4597207303974</v>
      </c>
      <c r="L10" s="47">
        <f>+'Table 1'!AI22</f>
        <v>59.16219119226638</v>
      </c>
      <c r="M10" s="585">
        <f t="shared" si="0"/>
        <v>591.6219119226638</v>
      </c>
      <c r="N10" s="47">
        <f>+'Table 1'!AJ22</f>
        <v>800</v>
      </c>
      <c r="O10" s="47">
        <f>+'Table 1'!AK22</f>
        <v>50</v>
      </c>
      <c r="P10" s="47">
        <f>+'Table 1'!AM22</f>
        <v>0</v>
      </c>
      <c r="Q10" s="47">
        <f>+'Table 1'!AN22</f>
        <v>0</v>
      </c>
      <c r="R10" s="47">
        <f>+'Table 1'!AR22</f>
        <v>0</v>
      </c>
      <c r="S10" s="47">
        <f>+'Table 1'!AS22</f>
        <v>0</v>
      </c>
      <c r="T10" s="47">
        <f>+'Table 1'!AT22</f>
        <v>0</v>
      </c>
      <c r="U10" s="47">
        <f>+'Table 1'!AU22</f>
        <v>0</v>
      </c>
      <c r="V10" s="47">
        <f>+'Table 1'!AV22</f>
        <v>0</v>
      </c>
      <c r="W10" s="53">
        <f>+'Table 1'!AW22</f>
        <v>0</v>
      </c>
      <c r="X10" s="77">
        <f>SUM(N10:W10)+H10</f>
        <v>1010</v>
      </c>
      <c r="Y10" s="55"/>
      <c r="Z10" s="49"/>
    </row>
    <row r="11" spans="2:26" ht="12.75">
      <c r="B11" s="57" t="s">
        <v>339</v>
      </c>
      <c r="C11" s="42"/>
      <c r="D11" s="42"/>
      <c r="E11" s="51"/>
      <c r="F11" s="47"/>
      <c r="G11" s="52"/>
      <c r="H11" s="420"/>
      <c r="I11" s="47">
        <f>+'Table 1'!AE27</f>
        <v>9.63345864661654</v>
      </c>
      <c r="J11" s="47">
        <f>+'Table 1'!AF27</f>
        <v>80.0733082706767</v>
      </c>
      <c r="K11" s="47">
        <f>+'Table 1'!AG27</f>
        <v>320.29323308270676</v>
      </c>
      <c r="L11" s="47">
        <f>+'Table 1'!AI27</f>
        <v>0</v>
      </c>
      <c r="M11" s="585">
        <f t="shared" si="0"/>
        <v>320.29323308270676</v>
      </c>
      <c r="N11" s="47">
        <f>+'Table 1'!AJ27</f>
        <v>410</v>
      </c>
      <c r="O11" s="47">
        <f>+'Table 1'!AK27</f>
        <v>0</v>
      </c>
      <c r="P11" s="47">
        <f>+'Table 1'!AM27</f>
        <v>700</v>
      </c>
      <c r="Q11" s="47">
        <f>+'Table 1'!AN27</f>
        <v>100</v>
      </c>
      <c r="R11" s="47">
        <f>+'Table 1'!AR27</f>
        <v>400</v>
      </c>
      <c r="S11" s="47">
        <f>+'Table 1'!AS27</f>
        <v>0</v>
      </c>
      <c r="T11" s="47">
        <f>+'Table 1'!AT27</f>
        <v>0</v>
      </c>
      <c r="U11" s="47">
        <f>+'Table 1'!AU27</f>
        <v>0</v>
      </c>
      <c r="V11" s="47">
        <f>+'Table 1'!AV27</f>
        <v>0</v>
      </c>
      <c r="W11" s="53">
        <f>+'Table 1'!AW27</f>
        <v>0</v>
      </c>
      <c r="X11" s="77">
        <f>SUM(N11:W11)+H11</f>
        <v>1610</v>
      </c>
      <c r="Y11" s="55"/>
      <c r="Z11" s="49"/>
    </row>
    <row r="12" spans="2:26" ht="12.75">
      <c r="B12" s="42" t="s">
        <v>81</v>
      </c>
      <c r="C12" s="42"/>
      <c r="D12" s="42"/>
      <c r="E12" s="51"/>
      <c r="F12" s="47"/>
      <c r="G12" s="52"/>
      <c r="H12" s="420">
        <f>+'Table 1'!AG30</f>
        <v>0</v>
      </c>
      <c r="I12" s="47">
        <f>+'Table 1'!AH30</f>
        <v>0</v>
      </c>
      <c r="J12" s="47">
        <f>+'Table 1'!AI30</f>
        <v>0</v>
      </c>
      <c r="K12" s="47">
        <f>+'Table 1'!AJ30</f>
        <v>0</v>
      </c>
      <c r="L12" s="47">
        <f>+'Table 1'!AL30</f>
        <v>0</v>
      </c>
      <c r="M12" s="585">
        <f t="shared" si="0"/>
        <v>0</v>
      </c>
      <c r="N12" s="47">
        <f>+'Table 1'!AM30</f>
        <v>0</v>
      </c>
      <c r="O12" s="47">
        <f>+'Table 1'!AO30</f>
        <v>0</v>
      </c>
      <c r="P12" s="47">
        <f>+'Table 1'!AQ30</f>
        <v>0</v>
      </c>
      <c r="Q12" s="47">
        <f>+'Table 1'!AR30</f>
        <v>0</v>
      </c>
      <c r="R12" s="47">
        <f>+'Table 1'!AR30</f>
        <v>0</v>
      </c>
      <c r="S12" s="47">
        <f>+'Table 1'!AS30</f>
        <v>0</v>
      </c>
      <c r="T12" s="47">
        <f>+'Table 1'!AT30</f>
        <v>0</v>
      </c>
      <c r="U12" s="47">
        <f>+'Table 1'!AU30</f>
        <v>210</v>
      </c>
      <c r="V12" s="47">
        <f>+'Table 1'!AV30</f>
        <v>0</v>
      </c>
      <c r="W12" s="53">
        <f>+'Table 1'!AW30</f>
        <v>0</v>
      </c>
      <c r="X12" s="77">
        <f>SUM(N12:W12)+H12</f>
        <v>210</v>
      </c>
      <c r="Y12" s="55"/>
      <c r="Z12" s="49"/>
    </row>
    <row r="13" spans="2:26" ht="12.75">
      <c r="B13" s="42"/>
      <c r="C13" s="42"/>
      <c r="D13" s="42"/>
      <c r="E13" s="51"/>
      <c r="F13" s="47"/>
      <c r="G13" s="52"/>
      <c r="H13" s="420"/>
      <c r="I13" s="47"/>
      <c r="J13" s="47"/>
      <c r="K13" s="47"/>
      <c r="L13" s="47"/>
      <c r="M13" s="585">
        <f t="shared" si="0"/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53"/>
      <c r="X13" s="77"/>
      <c r="Y13" s="55"/>
      <c r="Z13" s="49"/>
    </row>
    <row r="14" spans="1:26" s="59" customFormat="1" ht="12.75">
      <c r="A14" s="58"/>
      <c r="D14" s="59" t="s">
        <v>85</v>
      </c>
      <c r="E14" s="61"/>
      <c r="F14" s="62"/>
      <c r="G14" s="457"/>
      <c r="H14" s="460">
        <f>SUM(H9:H12)</f>
        <v>1826.8</v>
      </c>
      <c r="I14" s="62">
        <f>SUM(I9:I12)</f>
        <v>100</v>
      </c>
      <c r="J14" s="62">
        <f>SUM(J9:J12)</f>
        <v>849.2733082706768</v>
      </c>
      <c r="K14" s="62">
        <f>SUM(K9:K12)</f>
        <v>3217.9834049409233</v>
      </c>
      <c r="L14" s="62">
        <f>SUM(L9:L12)</f>
        <v>331.1621911922664</v>
      </c>
      <c r="M14" s="586">
        <f t="shared" si="0"/>
        <v>3549.1455961331894</v>
      </c>
      <c r="N14" s="62">
        <f aca="true" t="shared" si="3" ref="N14:X14">SUM(N9:N12)</f>
        <v>4256</v>
      </c>
      <c r="O14" s="62">
        <f t="shared" si="3"/>
        <v>1506.7349998176328</v>
      </c>
      <c r="P14" s="62">
        <f t="shared" si="3"/>
        <v>700</v>
      </c>
      <c r="Q14" s="62">
        <f t="shared" si="3"/>
        <v>100</v>
      </c>
      <c r="R14" s="62">
        <f t="shared" si="3"/>
        <v>400</v>
      </c>
      <c r="S14" s="62">
        <f t="shared" si="3"/>
        <v>0</v>
      </c>
      <c r="T14" s="62">
        <f t="shared" si="3"/>
        <v>0</v>
      </c>
      <c r="U14" s="62">
        <f t="shared" si="3"/>
        <v>210</v>
      </c>
      <c r="V14" s="62">
        <f t="shared" si="3"/>
        <v>0</v>
      </c>
      <c r="W14" s="63">
        <f t="shared" si="3"/>
        <v>0</v>
      </c>
      <c r="X14" s="64">
        <f t="shared" si="3"/>
        <v>8999.534999817632</v>
      </c>
      <c r="Y14" s="458"/>
      <c r="Z14" s="98"/>
    </row>
    <row r="15" spans="2:26" ht="12.75">
      <c r="B15" s="42"/>
      <c r="C15" s="42"/>
      <c r="D15" s="42"/>
      <c r="E15" s="51"/>
      <c r="F15" s="47"/>
      <c r="G15" s="52"/>
      <c r="H15" s="420"/>
      <c r="I15" s="47"/>
      <c r="J15" s="47"/>
      <c r="K15" s="47"/>
      <c r="L15" s="47"/>
      <c r="M15" s="585">
        <f t="shared" si="0"/>
        <v>0</v>
      </c>
      <c r="N15" s="47"/>
      <c r="O15" s="47"/>
      <c r="P15" s="47"/>
      <c r="Q15" s="47"/>
      <c r="R15" s="47"/>
      <c r="S15" s="47"/>
      <c r="T15" s="47"/>
      <c r="U15" s="47"/>
      <c r="V15" s="47"/>
      <c r="W15" s="53"/>
      <c r="X15" s="77"/>
      <c r="Y15" s="55"/>
      <c r="Z15" s="49"/>
    </row>
    <row r="16" spans="1:26" ht="12.75">
      <c r="A16" s="477" t="s">
        <v>453</v>
      </c>
      <c r="B16" s="42"/>
      <c r="C16" s="42"/>
      <c r="D16" s="42"/>
      <c r="E16" s="51"/>
      <c r="F16" s="47"/>
      <c r="G16" s="52"/>
      <c r="H16" s="420"/>
      <c r="I16" s="47"/>
      <c r="J16" s="47"/>
      <c r="K16" s="47"/>
      <c r="L16" s="47"/>
      <c r="M16" s="585">
        <f t="shared" si="0"/>
        <v>0</v>
      </c>
      <c r="N16" s="47"/>
      <c r="O16" s="47"/>
      <c r="P16" s="47"/>
      <c r="Q16" s="47"/>
      <c r="R16" s="47"/>
      <c r="S16" s="47"/>
      <c r="T16" s="47"/>
      <c r="U16" s="47"/>
      <c r="V16" s="47"/>
      <c r="W16" s="53"/>
      <c r="X16" s="77"/>
      <c r="Y16" s="55"/>
      <c r="Z16" s="49"/>
    </row>
    <row r="17" spans="2:26" ht="12.75">
      <c r="B17" s="417" t="s">
        <v>461</v>
      </c>
      <c r="D17" s="42"/>
      <c r="E17" s="51">
        <f>+'Table 1'!AO17</f>
        <v>1520.0318196287972</v>
      </c>
      <c r="F17" s="47">
        <f>+'Table 1'!AP17</f>
        <v>0</v>
      </c>
      <c r="G17" s="52">
        <f>+'Table 1'!AQ17</f>
        <v>631.0277273011411</v>
      </c>
      <c r="H17" s="420">
        <f>+'Table 1'!AD17</f>
        <v>1928.8062788553982</v>
      </c>
      <c r="I17" s="47">
        <f>+'Table 1'!AE17</f>
        <v>218.68983880224698</v>
      </c>
      <c r="J17" s="47">
        <f>+'Table 1'!AF17</f>
        <v>29.120999987842183</v>
      </c>
      <c r="K17" s="47">
        <f>+'Table 1'!AG17</f>
        <v>177.46515466815288</v>
      </c>
      <c r="L17" s="47">
        <f>+'Table 1'!AI17</f>
        <v>0</v>
      </c>
      <c r="M17" s="585">
        <f t="shared" si="0"/>
        <v>177.46515466815288</v>
      </c>
      <c r="N17" s="47">
        <f>+'Table 1'!AJ17</f>
        <v>425.27599345824206</v>
      </c>
      <c r="O17" s="47">
        <f>+'Table 1'!AK17</f>
        <v>169.87607385389876</v>
      </c>
      <c r="P17" s="47">
        <f>+'Table 1'!AM17</f>
        <v>113.90439502753641</v>
      </c>
      <c r="Q17" s="47">
        <f>+'Table 1'!AN17</f>
        <v>0</v>
      </c>
      <c r="R17" s="47">
        <f>+'Table 1'!AR17</f>
        <v>954.9846827173172</v>
      </c>
      <c r="S17" s="47">
        <f>+'Table 1'!AS17</f>
        <v>394.9057860235715</v>
      </c>
      <c r="T17" s="47">
        <f>+'Table 1'!AT17</f>
        <v>519.8294145303332</v>
      </c>
      <c r="U17" s="47">
        <f>+'Table 1'!AU17</f>
        <v>187.36710552245205</v>
      </c>
      <c r="V17" s="47">
        <f>+'Table 1'!AV17</f>
        <v>296.1821558193888</v>
      </c>
      <c r="W17" s="53">
        <f>+'Table 1'!AW17</f>
        <v>190.87352898322007</v>
      </c>
      <c r="X17" s="77">
        <f>SUM(N17:W17)+H17</f>
        <v>5182.005414791359</v>
      </c>
      <c r="Y17" s="55">
        <f>+X17</f>
        <v>5182.005414791359</v>
      </c>
      <c r="Z17" s="49"/>
    </row>
    <row r="18" spans="2:26" ht="12.75">
      <c r="B18" s="42" t="s">
        <v>49</v>
      </c>
      <c r="D18" s="42"/>
      <c r="E18" s="51">
        <f>+'Table 1'!AO26</f>
        <v>18.88362873707301</v>
      </c>
      <c r="F18" s="47">
        <f>+'Table 1'!AP26</f>
        <v>0</v>
      </c>
      <c r="G18" s="52">
        <f>+'Table 1'!AQ26</f>
        <v>18.88362873707301</v>
      </c>
      <c r="H18" s="420">
        <f>+'Table 1'!AD26</f>
        <v>201.8019648801315</v>
      </c>
      <c r="I18" s="47">
        <f>+'Table 1'!AE26</f>
        <v>0</v>
      </c>
      <c r="J18" s="47">
        <f>+'Table 1'!AF26</f>
        <v>0</v>
      </c>
      <c r="K18" s="47">
        <f>+'Table 1'!AG26</f>
        <v>0</v>
      </c>
      <c r="L18" s="47">
        <f>+'Table 1'!AI26</f>
        <v>0</v>
      </c>
      <c r="M18" s="585">
        <f t="shared" si="0"/>
        <v>0</v>
      </c>
      <c r="N18" s="47">
        <f>+'Table 1'!AJ26</f>
        <v>0</v>
      </c>
      <c r="O18" s="47">
        <f>+'Table 1'!AK26</f>
        <v>0</v>
      </c>
      <c r="P18" s="47">
        <f>+'Table 1'!AM26</f>
        <v>0</v>
      </c>
      <c r="Q18" s="47">
        <f>+'Table 1'!AN26</f>
        <v>0</v>
      </c>
      <c r="R18" s="47">
        <f>+'Table 1'!AR26</f>
        <v>149.05715832182847</v>
      </c>
      <c r="S18" s="47">
        <f>+'Table 1'!AS26</f>
        <v>147.9371885591532</v>
      </c>
      <c r="T18" s="47">
        <f>+'Table 1'!AT26</f>
        <v>93.43643076474075</v>
      </c>
      <c r="U18" s="47">
        <f>+'Table 1'!AU26</f>
        <v>0</v>
      </c>
      <c r="V18" s="47">
        <f>+'Table 1'!AV26</f>
        <v>0</v>
      </c>
      <c r="W18" s="53">
        <f>+'Table 1'!AW26</f>
        <v>0</v>
      </c>
      <c r="X18" s="77">
        <f>SUM(N18:W18)+H18</f>
        <v>592.2327425258538</v>
      </c>
      <c r="Y18" s="55"/>
      <c r="Z18" s="49"/>
    </row>
    <row r="19" spans="2:26" ht="12.75">
      <c r="B19" s="42" t="s">
        <v>80</v>
      </c>
      <c r="C19" s="42"/>
      <c r="D19" s="42"/>
      <c r="E19" s="51"/>
      <c r="F19" s="47"/>
      <c r="G19" s="52"/>
      <c r="H19" s="420">
        <f>+'Table 1'!AD29</f>
        <v>200</v>
      </c>
      <c r="I19" s="47">
        <f>+'Table 1'!AE29</f>
        <v>0</v>
      </c>
      <c r="J19" s="47">
        <f>+'Table 1'!AF29</f>
        <v>0</v>
      </c>
      <c r="K19" s="47">
        <f>+'Table 1'!AG29</f>
        <v>0</v>
      </c>
      <c r="L19" s="47">
        <f>+'Table 1'!AI29</f>
        <v>0</v>
      </c>
      <c r="M19" s="585">
        <f t="shared" si="0"/>
        <v>0</v>
      </c>
      <c r="N19" s="47">
        <f>+'Table 1'!AJ29</f>
        <v>0</v>
      </c>
      <c r="O19" s="47">
        <f>+'Table 1'!AK29</f>
        <v>0</v>
      </c>
      <c r="P19" s="47">
        <f>+'Table 1'!AM29</f>
        <v>0</v>
      </c>
      <c r="Q19" s="47">
        <f>+'Table 1'!AN29</f>
        <v>0</v>
      </c>
      <c r="R19" s="47">
        <f>+'Table 1'!AR29</f>
        <v>0</v>
      </c>
      <c r="S19" s="47">
        <f>+'Table 1'!AS29</f>
        <v>0</v>
      </c>
      <c r="T19" s="47">
        <f>+'Table 1'!AT29</f>
        <v>0</v>
      </c>
      <c r="U19" s="47">
        <f>+'Table 1'!AU29</f>
        <v>0</v>
      </c>
      <c r="V19" s="47">
        <f>+'Table 1'!AV29</f>
        <v>200</v>
      </c>
      <c r="W19" s="53">
        <f>+'Table 1'!AW29</f>
        <v>0</v>
      </c>
      <c r="X19" s="77">
        <f>SUM(N19:W19)+H19</f>
        <v>400</v>
      </c>
      <c r="Y19" s="55"/>
      <c r="Z19" s="49"/>
    </row>
    <row r="20" spans="2:27" ht="12.75">
      <c r="B20" s="57" t="s">
        <v>82</v>
      </c>
      <c r="C20" s="42"/>
      <c r="D20" s="42"/>
      <c r="E20" s="51"/>
      <c r="F20" s="47"/>
      <c r="G20" s="52"/>
      <c r="H20" s="420">
        <f>+'Table 1'!AD28</f>
        <v>125.00000000000003</v>
      </c>
      <c r="I20" s="47">
        <f>+'Table 1'!AE28</f>
        <v>0</v>
      </c>
      <c r="J20" s="47">
        <f>+'Table 1'!AF28</f>
        <v>0</v>
      </c>
      <c r="K20" s="47">
        <f>+'Table 1'!AG28</f>
        <v>0</v>
      </c>
      <c r="L20" s="47">
        <f>+'Table 1'!AI28</f>
        <v>0</v>
      </c>
      <c r="M20" s="585">
        <f t="shared" si="0"/>
        <v>0</v>
      </c>
      <c r="N20" s="47">
        <f>+'Table 1'!AJ28</f>
        <v>0</v>
      </c>
      <c r="O20" s="47">
        <f>+'Table 1'!AK28</f>
        <v>0</v>
      </c>
      <c r="P20" s="47">
        <f>+'Table 1'!AM28</f>
        <v>0</v>
      </c>
      <c r="Q20" s="47">
        <f>+'Table 1'!AN28</f>
        <v>0</v>
      </c>
      <c r="R20" s="47">
        <f>+'Table 1'!AR28</f>
        <v>0</v>
      </c>
      <c r="S20" s="47">
        <f>+'Table 1'!AS28</f>
        <v>125</v>
      </c>
      <c r="T20" s="47">
        <f>+'Table 1'!AT28</f>
        <v>0</v>
      </c>
      <c r="U20" s="47">
        <f>+'Table 1'!AU28</f>
        <v>0</v>
      </c>
      <c r="V20" s="47">
        <f>+'Table 1'!AV28</f>
        <v>0</v>
      </c>
      <c r="W20" s="53">
        <f>+'Table 1'!AW28</f>
        <v>0</v>
      </c>
      <c r="X20" s="77">
        <f>SUM(N20:W20)+H20</f>
        <v>250.00000000000003</v>
      </c>
      <c r="Y20" s="55">
        <f>SUM(Y9:Y17)</f>
        <v>11623.540414608993</v>
      </c>
      <c r="Z20" s="420"/>
      <c r="AA20" s="452"/>
    </row>
    <row r="21" spans="2:26" ht="12.75">
      <c r="B21" s="57"/>
      <c r="C21" s="42"/>
      <c r="D21" s="42"/>
      <c r="E21" s="51"/>
      <c r="F21" s="47"/>
      <c r="G21" s="52"/>
      <c r="H21" s="420"/>
      <c r="I21" s="47"/>
      <c r="J21" s="47"/>
      <c r="K21" s="47"/>
      <c r="L21" s="47"/>
      <c r="M21" s="585">
        <f t="shared" si="0"/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53"/>
      <c r="X21" s="77"/>
      <c r="Y21" s="55"/>
      <c r="Z21" s="49"/>
    </row>
    <row r="22" spans="1:26" s="59" customFormat="1" ht="12.75">
      <c r="A22" s="58"/>
      <c r="B22" s="459"/>
      <c r="D22" s="422" t="s">
        <v>464</v>
      </c>
      <c r="E22" s="61"/>
      <c r="F22" s="62"/>
      <c r="G22" s="457"/>
      <c r="H22" s="460">
        <f>SUM(H17:H21)</f>
        <v>2455.60824373553</v>
      </c>
      <c r="I22" s="62">
        <f>SUM(I17:I21)</f>
        <v>218.68983880224698</v>
      </c>
      <c r="J22" s="62">
        <f>SUM(J17:J21)</f>
        <v>29.120999987842183</v>
      </c>
      <c r="K22" s="62">
        <f>SUM(K17:K21)</f>
        <v>177.46515466815288</v>
      </c>
      <c r="L22" s="62">
        <f>SUM(L17:L21)</f>
        <v>0</v>
      </c>
      <c r="M22" s="586">
        <f t="shared" si="0"/>
        <v>177.46515466815288</v>
      </c>
      <c r="N22" s="62">
        <f aca="true" t="shared" si="4" ref="N22:W22">SUM(N17:N21)</f>
        <v>425.27599345824206</v>
      </c>
      <c r="O22" s="62">
        <f t="shared" si="4"/>
        <v>169.87607385389876</v>
      </c>
      <c r="P22" s="62">
        <f t="shared" si="4"/>
        <v>113.90439502753641</v>
      </c>
      <c r="Q22" s="62">
        <f t="shared" si="4"/>
        <v>0</v>
      </c>
      <c r="R22" s="62">
        <f t="shared" si="4"/>
        <v>1104.0418410391458</v>
      </c>
      <c r="S22" s="62">
        <f t="shared" si="4"/>
        <v>667.8429745827248</v>
      </c>
      <c r="T22" s="62">
        <f t="shared" si="4"/>
        <v>613.265845295074</v>
      </c>
      <c r="U22" s="62">
        <f t="shared" si="4"/>
        <v>187.36710552245205</v>
      </c>
      <c r="V22" s="62">
        <f t="shared" si="4"/>
        <v>496.1821558193888</v>
      </c>
      <c r="W22" s="63">
        <f t="shared" si="4"/>
        <v>190.87352898322007</v>
      </c>
      <c r="X22" s="64">
        <f>SUM(X17:X20)</f>
        <v>6424.238157317212</v>
      </c>
      <c r="Y22" s="458"/>
      <c r="Z22" s="98"/>
    </row>
    <row r="23" spans="2:26" ht="12.75">
      <c r="B23" s="57"/>
      <c r="C23" s="42"/>
      <c r="D23" s="42"/>
      <c r="E23" s="51"/>
      <c r="F23" s="47"/>
      <c r="G23" s="52"/>
      <c r="H23" s="420"/>
      <c r="I23" s="47"/>
      <c r="J23" s="47"/>
      <c r="K23" s="47"/>
      <c r="L23" s="47"/>
      <c r="M23" s="585">
        <f t="shared" si="0"/>
        <v>0</v>
      </c>
      <c r="N23" s="47"/>
      <c r="O23" s="47"/>
      <c r="P23" s="47"/>
      <c r="Q23" s="47"/>
      <c r="R23" s="47"/>
      <c r="S23" s="47"/>
      <c r="T23" s="47"/>
      <c r="U23" s="47"/>
      <c r="V23" s="47"/>
      <c r="W23" s="53"/>
      <c r="X23" s="77"/>
      <c r="Y23" s="55"/>
      <c r="Z23" s="49"/>
    </row>
    <row r="24" spans="1:26" ht="12.75">
      <c r="A24" s="451" t="s">
        <v>462</v>
      </c>
      <c r="B24" s="57"/>
      <c r="C24" s="42"/>
      <c r="D24" s="42"/>
      <c r="E24" s="51"/>
      <c r="F24" s="47"/>
      <c r="G24" s="52"/>
      <c r="H24" s="420"/>
      <c r="I24" s="47"/>
      <c r="J24" s="47"/>
      <c r="K24" s="47"/>
      <c r="L24" s="47"/>
      <c r="M24" s="585">
        <f t="shared" si="0"/>
        <v>0</v>
      </c>
      <c r="N24" s="47"/>
      <c r="O24" s="47"/>
      <c r="P24" s="47"/>
      <c r="Q24" s="47"/>
      <c r="R24" s="47"/>
      <c r="S24" s="47"/>
      <c r="T24" s="47"/>
      <c r="U24" s="47"/>
      <c r="V24" s="47"/>
      <c r="W24" s="53"/>
      <c r="X24" s="77"/>
      <c r="Y24" s="55"/>
      <c r="Z24" s="49"/>
    </row>
    <row r="25" spans="2:26" ht="12.75">
      <c r="B25" s="42" t="s">
        <v>78</v>
      </c>
      <c r="C25" s="42"/>
      <c r="D25" s="42"/>
      <c r="E25" s="51">
        <f>+'Table 1'!AO32</f>
        <v>675</v>
      </c>
      <c r="F25" s="47">
        <f>+'Table 1'!AP32</f>
        <v>225</v>
      </c>
      <c r="G25" s="52"/>
      <c r="H25" s="420"/>
      <c r="I25" s="47"/>
      <c r="J25" s="47"/>
      <c r="K25" s="47"/>
      <c r="L25" s="47"/>
      <c r="M25" s="585">
        <f t="shared" si="0"/>
        <v>0</v>
      </c>
      <c r="N25" s="47"/>
      <c r="O25" s="47"/>
      <c r="P25" s="47"/>
      <c r="Q25" s="47"/>
      <c r="R25" s="47"/>
      <c r="S25" s="47"/>
      <c r="T25" s="47"/>
      <c r="U25" s="47"/>
      <c r="V25" s="47"/>
      <c r="W25" s="53"/>
      <c r="X25" s="77">
        <f aca="true" t="shared" si="5" ref="X25:X33">SUM(N25:W25)+H25</f>
        <v>0</v>
      </c>
      <c r="Y25" s="55">
        <f aca="true" t="shared" si="6" ref="Y25:Y33">+X25</f>
        <v>0</v>
      </c>
      <c r="Z25" s="49"/>
    </row>
    <row r="26" spans="2:26" ht="12.75">
      <c r="B26" s="42" t="s">
        <v>79</v>
      </c>
      <c r="C26" s="42"/>
      <c r="D26" s="42"/>
      <c r="E26" s="51"/>
      <c r="F26" s="47">
        <f>+'Table 1'!AP36</f>
        <v>70</v>
      </c>
      <c r="G26" s="52"/>
      <c r="H26" s="420"/>
      <c r="I26" s="47"/>
      <c r="J26" s="47"/>
      <c r="K26" s="47"/>
      <c r="L26" s="47"/>
      <c r="M26" s="585">
        <f t="shared" si="0"/>
        <v>0</v>
      </c>
      <c r="N26" s="47"/>
      <c r="O26" s="47"/>
      <c r="P26" s="47"/>
      <c r="Q26" s="47"/>
      <c r="R26" s="47"/>
      <c r="S26" s="47"/>
      <c r="T26" s="47"/>
      <c r="U26" s="47"/>
      <c r="V26" s="47"/>
      <c r="W26" s="53"/>
      <c r="X26" s="77">
        <f t="shared" si="5"/>
        <v>0</v>
      </c>
      <c r="Y26" s="55">
        <f t="shared" si="6"/>
        <v>0</v>
      </c>
      <c r="Z26" s="49"/>
    </row>
    <row r="27" spans="2:26" ht="12.75">
      <c r="B27" s="42" t="s">
        <v>83</v>
      </c>
      <c r="C27" s="42"/>
      <c r="D27" s="42"/>
      <c r="E27" s="51">
        <f>+'Table 1'!AO38</f>
        <v>250</v>
      </c>
      <c r="F27" s="47"/>
      <c r="G27" s="52">
        <f>+'Table 1'!AQ31</f>
        <v>150</v>
      </c>
      <c r="H27" s="420"/>
      <c r="I27" s="47"/>
      <c r="J27" s="47"/>
      <c r="K27" s="47"/>
      <c r="L27" s="47"/>
      <c r="M27" s="585">
        <f t="shared" si="0"/>
        <v>0</v>
      </c>
      <c r="N27" s="47"/>
      <c r="O27" s="47"/>
      <c r="P27" s="47"/>
      <c r="Q27" s="47"/>
      <c r="R27" s="47"/>
      <c r="S27" s="47"/>
      <c r="T27" s="47"/>
      <c r="U27" s="47"/>
      <c r="V27" s="47"/>
      <c r="W27" s="53"/>
      <c r="X27" s="77">
        <f t="shared" si="5"/>
        <v>0</v>
      </c>
      <c r="Y27" s="55">
        <f t="shared" si="6"/>
        <v>0</v>
      </c>
      <c r="Z27" s="49"/>
    </row>
    <row r="28" spans="2:26" ht="12.75">
      <c r="B28" s="417" t="s">
        <v>463</v>
      </c>
      <c r="C28" s="42"/>
      <c r="D28" s="42"/>
      <c r="E28" s="51"/>
      <c r="F28" s="47"/>
      <c r="G28" s="52"/>
      <c r="H28" s="420"/>
      <c r="I28" s="47"/>
      <c r="J28" s="47"/>
      <c r="K28" s="47"/>
      <c r="L28" s="47"/>
      <c r="M28" s="585">
        <f t="shared" si="0"/>
        <v>0</v>
      </c>
      <c r="N28" s="47"/>
      <c r="O28" s="47"/>
      <c r="P28" s="47"/>
      <c r="Q28" s="47"/>
      <c r="R28" s="47"/>
      <c r="S28" s="47"/>
      <c r="T28" s="47"/>
      <c r="U28" s="47"/>
      <c r="V28" s="47"/>
      <c r="W28" s="53"/>
      <c r="X28" s="77">
        <f t="shared" si="5"/>
        <v>0</v>
      </c>
      <c r="Y28" s="55">
        <f t="shared" si="6"/>
        <v>0</v>
      </c>
      <c r="Z28" s="49"/>
    </row>
    <row r="29" spans="2:26" ht="12.75">
      <c r="B29" s="42"/>
      <c r="C29" s="42" t="s">
        <v>57</v>
      </c>
      <c r="D29" s="42"/>
      <c r="E29" s="51"/>
      <c r="F29" s="47">
        <f>+'Table 1'!AP34</f>
        <v>210</v>
      </c>
      <c r="G29" s="52"/>
      <c r="H29" s="420"/>
      <c r="I29" s="47"/>
      <c r="J29" s="47"/>
      <c r="K29" s="47"/>
      <c r="L29" s="47"/>
      <c r="M29" s="585">
        <f t="shared" si="0"/>
        <v>0</v>
      </c>
      <c r="N29" s="47"/>
      <c r="O29" s="47"/>
      <c r="P29" s="47"/>
      <c r="Q29" s="47"/>
      <c r="R29" s="47"/>
      <c r="S29" s="47"/>
      <c r="T29" s="47"/>
      <c r="U29" s="47"/>
      <c r="V29" s="47"/>
      <c r="W29" s="53"/>
      <c r="X29" s="77">
        <f t="shared" si="5"/>
        <v>0</v>
      </c>
      <c r="Y29" s="55">
        <f t="shared" si="6"/>
        <v>0</v>
      </c>
      <c r="Z29" s="49"/>
    </row>
    <row r="30" spans="2:26" ht="12.75">
      <c r="B30" s="42"/>
      <c r="C30" s="42" t="s">
        <v>58</v>
      </c>
      <c r="D30" s="42"/>
      <c r="E30" s="51"/>
      <c r="F30" s="47">
        <f>+'Table 1'!AP35</f>
        <v>550</v>
      </c>
      <c r="G30" s="52"/>
      <c r="H30" s="420"/>
      <c r="I30" s="47"/>
      <c r="J30" s="47"/>
      <c r="K30" s="47"/>
      <c r="L30" s="47"/>
      <c r="M30" s="585">
        <f t="shared" si="0"/>
        <v>0</v>
      </c>
      <c r="N30" s="47"/>
      <c r="O30" s="47"/>
      <c r="P30" s="47"/>
      <c r="Q30" s="47"/>
      <c r="R30" s="47"/>
      <c r="S30" s="47"/>
      <c r="T30" s="47"/>
      <c r="U30" s="47"/>
      <c r="V30" s="47"/>
      <c r="W30" s="53"/>
      <c r="X30" s="77">
        <f t="shared" si="5"/>
        <v>0</v>
      </c>
      <c r="Y30" s="55">
        <f t="shared" si="6"/>
        <v>0</v>
      </c>
      <c r="Z30" s="49"/>
    </row>
    <row r="31" spans="2:26" ht="12.75">
      <c r="B31" s="42"/>
      <c r="C31" s="42" t="s">
        <v>56</v>
      </c>
      <c r="D31" s="42"/>
      <c r="E31" s="51"/>
      <c r="F31" s="47">
        <f>+'Table 1'!AP33</f>
        <v>870</v>
      </c>
      <c r="G31" s="52"/>
      <c r="H31" s="420"/>
      <c r="I31" s="47"/>
      <c r="J31" s="47"/>
      <c r="K31" s="47"/>
      <c r="L31" s="47"/>
      <c r="M31" s="585">
        <f t="shared" si="0"/>
        <v>0</v>
      </c>
      <c r="N31" s="47"/>
      <c r="O31" s="47"/>
      <c r="P31" s="47"/>
      <c r="Q31" s="47"/>
      <c r="R31" s="47"/>
      <c r="S31" s="47"/>
      <c r="T31" s="47"/>
      <c r="U31" s="47"/>
      <c r="V31" s="47"/>
      <c r="W31" s="53"/>
      <c r="X31" s="77">
        <f t="shared" si="5"/>
        <v>0</v>
      </c>
      <c r="Y31" s="55">
        <f t="shared" si="6"/>
        <v>0</v>
      </c>
      <c r="Z31" s="49"/>
    </row>
    <row r="32" spans="2:26" ht="12.75">
      <c r="B32" s="42" t="s">
        <v>84</v>
      </c>
      <c r="C32" s="42"/>
      <c r="D32" s="42"/>
      <c r="E32" s="51"/>
      <c r="F32" s="47">
        <f>+'Table 1'!AP37</f>
        <v>450</v>
      </c>
      <c r="G32" s="52">
        <f>+'Table 1'!AQ37</f>
        <v>400</v>
      </c>
      <c r="H32" s="420"/>
      <c r="I32" s="47"/>
      <c r="J32" s="47"/>
      <c r="K32" s="47"/>
      <c r="L32" s="47"/>
      <c r="M32" s="585">
        <f t="shared" si="0"/>
        <v>0</v>
      </c>
      <c r="N32" s="47"/>
      <c r="O32" s="47"/>
      <c r="P32" s="47"/>
      <c r="Q32" s="47"/>
      <c r="R32" s="47"/>
      <c r="S32" s="47"/>
      <c r="T32" s="47"/>
      <c r="U32" s="47"/>
      <c r="V32" s="47"/>
      <c r="W32" s="53"/>
      <c r="X32" s="77">
        <f t="shared" si="5"/>
        <v>0</v>
      </c>
      <c r="Y32" s="55">
        <f t="shared" si="6"/>
        <v>0</v>
      </c>
      <c r="Z32" s="49"/>
    </row>
    <row r="33" spans="2:26" ht="12.75">
      <c r="B33" s="42"/>
      <c r="C33" s="42"/>
      <c r="D33" s="42"/>
      <c r="E33" s="51"/>
      <c r="F33" s="47"/>
      <c r="G33" s="52"/>
      <c r="H33" s="420"/>
      <c r="I33" s="47"/>
      <c r="J33" s="47"/>
      <c r="K33" s="47"/>
      <c r="L33" s="47"/>
      <c r="M33" s="585">
        <f t="shared" si="0"/>
        <v>0</v>
      </c>
      <c r="N33" s="47"/>
      <c r="O33" s="47"/>
      <c r="P33" s="47"/>
      <c r="Q33" s="47"/>
      <c r="R33" s="47"/>
      <c r="S33" s="47"/>
      <c r="T33" s="47"/>
      <c r="U33" s="47"/>
      <c r="V33" s="47"/>
      <c r="W33" s="53"/>
      <c r="X33" s="77">
        <f t="shared" si="5"/>
        <v>0</v>
      </c>
      <c r="Y33" s="55">
        <f t="shared" si="6"/>
        <v>0</v>
      </c>
      <c r="Z33" s="49"/>
    </row>
    <row r="34" spans="1:26" s="59" customFormat="1" ht="12.75">
      <c r="A34" s="58"/>
      <c r="D34" s="422" t="s">
        <v>465</v>
      </c>
      <c r="E34" s="61">
        <f>SUM(E17:E32)</f>
        <v>2463.9154483658704</v>
      </c>
      <c r="F34" s="62">
        <f>SUM(F17:F32)</f>
        <v>2375</v>
      </c>
      <c r="G34" s="457">
        <f>SUM(G17:G32)</f>
        <v>1199.911356038214</v>
      </c>
      <c r="H34" s="460"/>
      <c r="I34" s="62"/>
      <c r="J34" s="62"/>
      <c r="K34" s="62"/>
      <c r="L34" s="62"/>
      <c r="M34" s="586">
        <f t="shared" si="0"/>
        <v>0</v>
      </c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/>
      <c r="Y34" s="458"/>
      <c r="Z34" s="98"/>
    </row>
    <row r="35" spans="2:26" ht="12.75">
      <c r="B35" s="42"/>
      <c r="C35" s="42"/>
      <c r="D35" s="42"/>
      <c r="E35" s="51"/>
      <c r="F35" s="47"/>
      <c r="G35" s="52"/>
      <c r="H35" s="420"/>
      <c r="I35" s="47"/>
      <c r="J35" s="47"/>
      <c r="K35" s="47"/>
      <c r="L35" s="47"/>
      <c r="M35" s="585">
        <f t="shared" si="0"/>
        <v>0</v>
      </c>
      <c r="N35" s="47"/>
      <c r="O35" s="47"/>
      <c r="P35" s="47"/>
      <c r="Q35" s="47"/>
      <c r="R35" s="47"/>
      <c r="S35" s="47"/>
      <c r="T35" s="47"/>
      <c r="U35" s="47"/>
      <c r="V35" s="47"/>
      <c r="W35" s="53"/>
      <c r="X35" s="77"/>
      <c r="Y35" s="55"/>
      <c r="Z35" s="49"/>
    </row>
    <row r="36" spans="1:26" s="33" customFormat="1" ht="12.75">
      <c r="A36" s="58"/>
      <c r="B36" s="59"/>
      <c r="C36" s="59"/>
      <c r="D36" s="59" t="s">
        <v>85</v>
      </c>
      <c r="E36" s="61"/>
      <c r="F36" s="62"/>
      <c r="G36" s="457"/>
      <c r="H36" s="460">
        <f>+H34+H22+H14</f>
        <v>4282.40824373553</v>
      </c>
      <c r="I36" s="62">
        <f>+I34+I22+I14</f>
        <v>318.689838802247</v>
      </c>
      <c r="J36" s="62">
        <f>+J34+J22+J14</f>
        <v>878.394308258519</v>
      </c>
      <c r="K36" s="62">
        <f>+K34+K22+K14</f>
        <v>3395.4485596090763</v>
      </c>
      <c r="L36" s="62">
        <f>+L34+L22+L14</f>
        <v>331.1621911922664</v>
      </c>
      <c r="M36" s="586">
        <f t="shared" si="0"/>
        <v>3726.610750801343</v>
      </c>
      <c r="N36" s="62">
        <f aca="true" t="shared" si="7" ref="N36:X36">+N34+N22+N14</f>
        <v>4681.275993458242</v>
      </c>
      <c r="O36" s="62">
        <f t="shared" si="7"/>
        <v>1676.6110736715316</v>
      </c>
      <c r="P36" s="62">
        <f t="shared" si="7"/>
        <v>813.9043950275365</v>
      </c>
      <c r="Q36" s="62">
        <f t="shared" si="7"/>
        <v>100</v>
      </c>
      <c r="R36" s="62">
        <f t="shared" si="7"/>
        <v>1504.0418410391458</v>
      </c>
      <c r="S36" s="62">
        <f t="shared" si="7"/>
        <v>667.8429745827248</v>
      </c>
      <c r="T36" s="62">
        <f t="shared" si="7"/>
        <v>613.265845295074</v>
      </c>
      <c r="U36" s="62">
        <f t="shared" si="7"/>
        <v>397.36710552245205</v>
      </c>
      <c r="V36" s="62">
        <f t="shared" si="7"/>
        <v>496.1821558193888</v>
      </c>
      <c r="W36" s="63">
        <f t="shared" si="7"/>
        <v>190.87352898322007</v>
      </c>
      <c r="X36" s="64">
        <f t="shared" si="7"/>
        <v>15423.773157134845</v>
      </c>
      <c r="Y36" s="460"/>
      <c r="Z36" s="66"/>
    </row>
    <row r="37" spans="1:25" s="65" customFormat="1" ht="12.75">
      <c r="A37" s="50"/>
      <c r="E37" s="449"/>
      <c r="F37" s="74"/>
      <c r="G37" s="75"/>
      <c r="H37" s="445"/>
      <c r="I37" s="74"/>
      <c r="J37" s="74"/>
      <c r="K37" s="74"/>
      <c r="L37" s="74"/>
      <c r="M37" s="585">
        <f t="shared" si="0"/>
        <v>0</v>
      </c>
      <c r="N37" s="74"/>
      <c r="O37" s="74"/>
      <c r="P37" s="74"/>
      <c r="Q37" s="74"/>
      <c r="R37" s="74"/>
      <c r="S37" s="74"/>
      <c r="T37" s="74"/>
      <c r="U37" s="74"/>
      <c r="V37" s="74"/>
      <c r="W37" s="76"/>
      <c r="X37" s="450"/>
      <c r="Y37" s="429"/>
    </row>
    <row r="38" spans="1:26" s="33" customFormat="1" ht="12.75">
      <c r="A38" s="477" t="s">
        <v>466</v>
      </c>
      <c r="B38" s="65"/>
      <c r="C38" s="65"/>
      <c r="E38" s="449"/>
      <c r="F38" s="74"/>
      <c r="G38" s="75"/>
      <c r="H38" s="445"/>
      <c r="I38" s="74"/>
      <c r="J38" s="74"/>
      <c r="K38" s="74"/>
      <c r="L38" s="74"/>
      <c r="M38" s="585">
        <f aca="true" t="shared" si="8" ref="M38:M54">SUM(K38:L38)</f>
        <v>0</v>
      </c>
      <c r="N38" s="74"/>
      <c r="O38" s="74"/>
      <c r="P38" s="74"/>
      <c r="Q38" s="74"/>
      <c r="R38" s="74"/>
      <c r="S38" s="74"/>
      <c r="T38" s="74"/>
      <c r="U38" s="74"/>
      <c r="V38" s="74"/>
      <c r="W38" s="76"/>
      <c r="X38" s="77"/>
      <c r="Y38" s="429"/>
      <c r="Z38" s="66"/>
    </row>
    <row r="39" spans="1:26" s="33" customFormat="1" ht="12.75">
      <c r="A39" s="50"/>
      <c r="B39" s="417" t="s">
        <v>28</v>
      </c>
      <c r="C39" s="65"/>
      <c r="D39" s="65"/>
      <c r="E39" s="449"/>
      <c r="F39" s="74"/>
      <c r="G39" s="75"/>
      <c r="H39" s="445">
        <f>(H9+H17)/$Y$20*$E$34</f>
        <v>762.183426108142</v>
      </c>
      <c r="I39" s="74">
        <f>(I9+I17)/$Y$20*$E$34</f>
        <v>61.52811998875799</v>
      </c>
      <c r="J39" s="74">
        <f>(J9+J17)/$Y$20*$E$34</f>
        <v>135.3089434704135</v>
      </c>
      <c r="K39" s="74">
        <f>(K9+K17)/$Y$20*$E$34</f>
        <v>538.9912849391905</v>
      </c>
      <c r="L39" s="74">
        <f>(L9+L17)/$Y$20*$E$34</f>
        <v>57.657561986294446</v>
      </c>
      <c r="M39" s="587">
        <f t="shared" si="8"/>
        <v>596.6488469254849</v>
      </c>
      <c r="N39" s="74">
        <f>SUM(I39:L39)</f>
        <v>793.4859103846564</v>
      </c>
      <c r="O39" s="74">
        <f aca="true" t="shared" si="9" ref="O39:W39">(O9+O17)/$Y$20*$E$34</f>
        <v>344.8030470875342</v>
      </c>
      <c r="P39" s="74">
        <f t="shared" si="9"/>
        <v>24.145035723571876</v>
      </c>
      <c r="Q39" s="74">
        <f t="shared" si="9"/>
        <v>0</v>
      </c>
      <c r="R39" s="74">
        <f t="shared" si="9"/>
        <v>202.43414904314508</v>
      </c>
      <c r="S39" s="74">
        <f t="shared" si="9"/>
        <v>83.71067954558974</v>
      </c>
      <c r="T39" s="74">
        <f t="shared" si="9"/>
        <v>110.19153195066853</v>
      </c>
      <c r="U39" s="74">
        <f t="shared" si="9"/>
        <v>39.71739154725498</v>
      </c>
      <c r="V39" s="74">
        <f t="shared" si="9"/>
        <v>62.783606648495336</v>
      </c>
      <c r="W39" s="76">
        <f t="shared" si="9"/>
        <v>40.460670326811695</v>
      </c>
      <c r="X39" s="77">
        <f>SUM(N39:W39)+H39</f>
        <v>2463.91544836587</v>
      </c>
      <c r="Y39" s="429"/>
      <c r="Z39" s="445">
        <f>E36-X39</f>
        <v>-2463.91544836587</v>
      </c>
    </row>
    <row r="40" spans="1:26" s="33" customFormat="1" ht="12.75">
      <c r="A40" s="50"/>
      <c r="B40" s="42" t="s">
        <v>29</v>
      </c>
      <c r="C40" s="65"/>
      <c r="D40" s="65"/>
      <c r="E40" s="449"/>
      <c r="F40" s="74"/>
      <c r="G40" s="75"/>
      <c r="H40" s="445">
        <f>(H9+H17)/$Y$20*$F$34</f>
        <v>734.6784721072297</v>
      </c>
      <c r="I40" s="74">
        <f>(I9+I17)/$Y$20*$F$34</f>
        <v>59.30775143693213</v>
      </c>
      <c r="J40" s="74">
        <f>(J9+J17)/$Y$20*$F$34</f>
        <v>130.42604240148142</v>
      </c>
      <c r="K40" s="74">
        <f>(K9+K17)/$Y$20*$F$34</f>
        <v>519.5406776557913</v>
      </c>
      <c r="L40" s="74">
        <f>(L9+L17)/$Y$20*$F$34</f>
        <v>55.57687046780324</v>
      </c>
      <c r="M40" s="587">
        <f t="shared" si="8"/>
        <v>575.1175481235946</v>
      </c>
      <c r="N40" s="74">
        <f>SUM(I40:L40)</f>
        <v>764.8513419620082</v>
      </c>
      <c r="O40" s="74">
        <f aca="true" t="shared" si="10" ref="O40:W40">(O9+O17)/$Y$20*$F$34</f>
        <v>332.36012111373924</v>
      </c>
      <c r="P40" s="74">
        <f t="shared" si="10"/>
        <v>23.27371252999589</v>
      </c>
      <c r="Q40" s="74">
        <f t="shared" si="10"/>
        <v>0</v>
      </c>
      <c r="R40" s="74">
        <f t="shared" si="10"/>
        <v>195.12889709601663</v>
      </c>
      <c r="S40" s="74">
        <f t="shared" si="10"/>
        <v>80.68980778241934</v>
      </c>
      <c r="T40" s="74">
        <f t="shared" si="10"/>
        <v>106.21504425259678</v>
      </c>
      <c r="U40" s="74">
        <f t="shared" si="10"/>
        <v>38.28410791745787</v>
      </c>
      <c r="V40" s="74">
        <f t="shared" si="10"/>
        <v>60.51793128253267</v>
      </c>
      <c r="W40" s="76">
        <f t="shared" si="10"/>
        <v>39.00056395600335</v>
      </c>
      <c r="X40" s="77">
        <f>SUM(N40:W40)+H40</f>
        <v>2374.9999999999995</v>
      </c>
      <c r="Y40" s="429"/>
      <c r="Z40" s="445">
        <f>F36-X40</f>
        <v>-2374.9999999999995</v>
      </c>
    </row>
    <row r="41" spans="1:27" s="33" customFormat="1" ht="12.75">
      <c r="A41" s="50"/>
      <c r="B41" s="42" t="s">
        <v>31</v>
      </c>
      <c r="C41" s="65"/>
      <c r="D41" s="65"/>
      <c r="E41" s="449"/>
      <c r="F41" s="74"/>
      <c r="G41" s="75"/>
      <c r="H41" s="445">
        <f>(H9+H17)/$Y$20*$G$34</f>
        <v>371.1785438813765</v>
      </c>
      <c r="I41" s="74">
        <f>(I9+I17)/$Y$20*$G$34</f>
        <v>29.963808189585926</v>
      </c>
      <c r="J41" s="74">
        <f>(J9+J17)/$Y$20*$G$34</f>
        <v>65.89460606343545</v>
      </c>
      <c r="K41" s="74">
        <f>(K9+K17)/$Y$20*$G$34</f>
        <v>262.48537222862035</v>
      </c>
      <c r="L41" s="74">
        <f>(L9+L17)/$Y$20*$G$34</f>
        <v>28.078870739950297</v>
      </c>
      <c r="M41" s="587">
        <f t="shared" si="8"/>
        <v>290.5642429685706</v>
      </c>
      <c r="N41" s="74">
        <f>SUM(I41:L41)</f>
        <v>386.422657221592</v>
      </c>
      <c r="O41" s="74">
        <f aca="true" t="shared" si="11" ref="O41:W41">(O9+O17)/$Y$20*$G$34</f>
        <v>167.9169194183629</v>
      </c>
      <c r="P41" s="74">
        <f t="shared" si="11"/>
        <v>11.758480826067766</v>
      </c>
      <c r="Q41" s="74">
        <f t="shared" si="11"/>
        <v>0</v>
      </c>
      <c r="R41" s="74">
        <f t="shared" si="11"/>
        <v>98.58415979651471</v>
      </c>
      <c r="S41" s="74">
        <f t="shared" si="11"/>
        <v>40.76657544196447</v>
      </c>
      <c r="T41" s="74">
        <f t="shared" si="11"/>
        <v>53.66258432875466</v>
      </c>
      <c r="U41" s="74">
        <f t="shared" si="11"/>
        <v>19.342120356189554</v>
      </c>
      <c r="V41" s="74">
        <f t="shared" si="11"/>
        <v>30.57522231151631</v>
      </c>
      <c r="W41" s="76">
        <f t="shared" si="11"/>
        <v>19.704092455874974</v>
      </c>
      <c r="X41" s="77">
        <f>SUM(N41:W41)+H41</f>
        <v>1199.9113560382139</v>
      </c>
      <c r="Y41" s="429"/>
      <c r="Z41" s="445">
        <f>G36-X41</f>
        <v>-1199.9113560382139</v>
      </c>
      <c r="AA41" s="488">
        <f>SUM(Z39:Z41)</f>
        <v>-6038.826804404083</v>
      </c>
    </row>
    <row r="42" spans="1:26" s="33" customFormat="1" ht="13.5" thickBot="1">
      <c r="A42" s="50"/>
      <c r="B42" s="65"/>
      <c r="C42" s="65"/>
      <c r="D42" s="65"/>
      <c r="E42" s="449"/>
      <c r="F42" s="74"/>
      <c r="G42" s="75"/>
      <c r="H42" s="445"/>
      <c r="I42" s="74"/>
      <c r="J42" s="74"/>
      <c r="K42" s="74"/>
      <c r="L42" s="74"/>
      <c r="M42" s="585">
        <f t="shared" si="8"/>
        <v>0</v>
      </c>
      <c r="N42" s="74"/>
      <c r="O42" s="74"/>
      <c r="P42" s="74"/>
      <c r="Q42" s="74"/>
      <c r="R42" s="74"/>
      <c r="S42" s="74"/>
      <c r="T42" s="74"/>
      <c r="U42" s="74"/>
      <c r="V42" s="74"/>
      <c r="W42" s="76"/>
      <c r="X42" s="602"/>
      <c r="Y42" s="429"/>
      <c r="Z42" s="66"/>
    </row>
    <row r="43" spans="1:27" s="475" customFormat="1" ht="13.5" thickBot="1">
      <c r="A43" s="79"/>
      <c r="B43" s="471"/>
      <c r="C43" s="471"/>
      <c r="D43" s="471" t="s">
        <v>86</v>
      </c>
      <c r="E43" s="474"/>
      <c r="F43" s="472"/>
      <c r="G43" s="486"/>
      <c r="H43" s="481">
        <f>SUM(H36:H42)</f>
        <v>6150.448685832279</v>
      </c>
      <c r="I43" s="472">
        <f>SUM(I36:I42)</f>
        <v>469.489518417523</v>
      </c>
      <c r="J43" s="472">
        <f>SUM(J36:J42)</f>
        <v>1210.0239001938494</v>
      </c>
      <c r="K43" s="472">
        <f>SUM(K36:K42)</f>
        <v>4716.465894432678</v>
      </c>
      <c r="L43" s="472">
        <f>SUM(L36:L42)</f>
        <v>472.4754943863144</v>
      </c>
      <c r="M43" s="588">
        <f t="shared" si="8"/>
        <v>5188.941388818993</v>
      </c>
      <c r="N43" s="472">
        <f aca="true" t="shared" si="12" ref="N43:W43">SUM(N36:N42)</f>
        <v>6626.035903026499</v>
      </c>
      <c r="O43" s="472">
        <f t="shared" si="12"/>
        <v>2521.6911612911676</v>
      </c>
      <c r="P43" s="472">
        <f t="shared" si="12"/>
        <v>873.0816241071719</v>
      </c>
      <c r="Q43" s="472">
        <f t="shared" si="12"/>
        <v>100</v>
      </c>
      <c r="R43" s="472">
        <f t="shared" si="12"/>
        <v>2000.189046974822</v>
      </c>
      <c r="S43" s="472">
        <f t="shared" si="12"/>
        <v>873.0100373526984</v>
      </c>
      <c r="T43" s="472">
        <f t="shared" si="12"/>
        <v>883.3350058270938</v>
      </c>
      <c r="U43" s="472">
        <f t="shared" si="12"/>
        <v>494.7107253433544</v>
      </c>
      <c r="V43" s="472">
        <f t="shared" si="12"/>
        <v>650.0589160619331</v>
      </c>
      <c r="W43" s="473">
        <f t="shared" si="12"/>
        <v>290.03885572191007</v>
      </c>
      <c r="X43" s="82">
        <f>SUM(N43:W43)+H43</f>
        <v>21462.59996153893</v>
      </c>
      <c r="Z43" s="476"/>
      <c r="AA43" s="489"/>
    </row>
    <row r="44" spans="2:27" ht="12.75">
      <c r="B44" s="42"/>
      <c r="C44" s="42"/>
      <c r="D44" s="42"/>
      <c r="E44" s="51"/>
      <c r="F44" s="47"/>
      <c r="G44" s="52"/>
      <c r="H44" s="431"/>
      <c r="I44" s="431"/>
      <c r="J44" s="431"/>
      <c r="K44" s="431"/>
      <c r="L44" s="431"/>
      <c r="M44" s="585">
        <f t="shared" si="8"/>
        <v>0</v>
      </c>
      <c r="N44" s="431"/>
      <c r="O44" s="431"/>
      <c r="P44" s="431"/>
      <c r="Q44" s="431"/>
      <c r="R44" s="431"/>
      <c r="S44" s="431"/>
      <c r="T44" s="431"/>
      <c r="U44" s="431"/>
      <c r="V44" s="490"/>
      <c r="W44" s="491"/>
      <c r="X44" s="492"/>
      <c r="Y44" s="591"/>
      <c r="Z44" s="591"/>
      <c r="AA44" s="592"/>
    </row>
    <row r="45" spans="1:27" ht="12.75">
      <c r="A45" s="50" t="s">
        <v>87</v>
      </c>
      <c r="B45" s="42"/>
      <c r="C45" s="42"/>
      <c r="D45" s="42"/>
      <c r="E45" s="51"/>
      <c r="F45" s="47"/>
      <c r="G45" s="52"/>
      <c r="H45" s="420"/>
      <c r="I45" s="47"/>
      <c r="J45" s="47"/>
      <c r="K45" s="47"/>
      <c r="L45" s="47"/>
      <c r="M45" s="585">
        <f t="shared" si="8"/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593"/>
      <c r="X45" s="77">
        <f>SUM(H45:W45)</f>
        <v>0</v>
      </c>
      <c r="Y45" s="594"/>
      <c r="Z45" s="594"/>
      <c r="AA45" s="41"/>
    </row>
    <row r="46" spans="2:27" ht="12.75">
      <c r="B46" s="42"/>
      <c r="C46" s="42"/>
      <c r="D46" s="42"/>
      <c r="E46" s="51"/>
      <c r="F46" s="47"/>
      <c r="G46" s="52"/>
      <c r="H46" s="420"/>
      <c r="I46" s="47"/>
      <c r="J46" s="47"/>
      <c r="K46" s="47"/>
      <c r="L46" s="47"/>
      <c r="M46" s="585">
        <f t="shared" si="8"/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593"/>
      <c r="X46" s="77">
        <f>SUM(H46:W46)</f>
        <v>0</v>
      </c>
      <c r="Y46" s="594"/>
      <c r="Z46" s="594"/>
      <c r="AA46" s="41"/>
    </row>
    <row r="47" spans="1:27" s="3" customFormat="1" ht="12.75">
      <c r="A47" s="68"/>
      <c r="B47" s="23" t="s">
        <v>89</v>
      </c>
      <c r="C47" s="23"/>
      <c r="D47" s="23"/>
      <c r="E47" s="71"/>
      <c r="F47" s="69"/>
      <c r="G47" s="70"/>
      <c r="H47" s="428">
        <f>+'Table 1'!AD45</f>
        <v>0</v>
      </c>
      <c r="I47" s="69"/>
      <c r="J47" s="69"/>
      <c r="K47" s="69"/>
      <c r="L47" s="69"/>
      <c r="M47" s="585">
        <f t="shared" si="8"/>
        <v>0</v>
      </c>
      <c r="N47" s="69">
        <f>+'Table 1'!AJ45</f>
        <v>0</v>
      </c>
      <c r="O47" s="69">
        <f>+'Table 1'!AK45</f>
        <v>0</v>
      </c>
      <c r="P47" s="69">
        <f>+'Table 1'!AM45</f>
        <v>0</v>
      </c>
      <c r="Q47" s="69">
        <f>+'Table 1'!AN45</f>
        <v>0</v>
      </c>
      <c r="R47" s="69">
        <f>+'Table 1'!AR45</f>
        <v>0</v>
      </c>
      <c r="S47" s="69">
        <f>+'Table 1'!AS45</f>
        <v>0</v>
      </c>
      <c r="T47" s="69">
        <f>+'Table 1'!AT45</f>
        <v>0</v>
      </c>
      <c r="U47" s="69">
        <f>+'Table 1'!AU45</f>
        <v>0</v>
      </c>
      <c r="V47" s="69">
        <f>+'Table 1'!AV45</f>
        <v>0</v>
      </c>
      <c r="W47" s="595">
        <f>+'Table 1'!AW45</f>
        <v>0</v>
      </c>
      <c r="X47" s="596">
        <f>+'Table 1'!AX45</f>
        <v>1150</v>
      </c>
      <c r="Y47" s="597"/>
      <c r="Z47" s="597"/>
      <c r="AA47" s="68"/>
    </row>
    <row r="48" spans="2:27" ht="12.75" customHeight="1">
      <c r="B48" s="417" t="s">
        <v>389</v>
      </c>
      <c r="C48" s="42"/>
      <c r="D48" s="42"/>
      <c r="E48" s="51"/>
      <c r="F48" s="47"/>
      <c r="G48" s="52"/>
      <c r="H48" s="420"/>
      <c r="I48" s="47"/>
      <c r="J48" s="47"/>
      <c r="K48" s="47">
        <f>+N48</f>
        <v>3070</v>
      </c>
      <c r="L48" s="47">
        <f>+L6</f>
        <v>272</v>
      </c>
      <c r="M48" s="585">
        <f t="shared" si="8"/>
        <v>3342</v>
      </c>
      <c r="N48" s="47">
        <f>+'Table 1'!AJ46</f>
        <v>3070</v>
      </c>
      <c r="O48" s="47"/>
      <c r="P48" s="47"/>
      <c r="Q48" s="47"/>
      <c r="R48" s="47"/>
      <c r="S48" s="47"/>
      <c r="T48" s="47"/>
      <c r="U48" s="47"/>
      <c r="V48" s="47"/>
      <c r="W48" s="593"/>
      <c r="X48" s="77">
        <f>SUM(N48:W48)</f>
        <v>3070</v>
      </c>
      <c r="Y48" s="594"/>
      <c r="Z48" s="594"/>
      <c r="AA48" s="41"/>
    </row>
    <row r="49" spans="2:27" ht="12.75">
      <c r="B49" s="42" t="s">
        <v>88</v>
      </c>
      <c r="C49" s="42"/>
      <c r="D49" s="42"/>
      <c r="E49" s="51"/>
      <c r="F49" s="47"/>
      <c r="G49" s="52"/>
      <c r="H49" s="428">
        <f>+'Table 1'!AD47</f>
        <v>0</v>
      </c>
      <c r="I49" s="69"/>
      <c r="J49" s="69"/>
      <c r="K49" s="69"/>
      <c r="L49" s="69"/>
      <c r="M49" s="585">
        <f t="shared" si="8"/>
        <v>0</v>
      </c>
      <c r="N49" s="69">
        <f>+'Table 1'!AJ47</f>
        <v>0</v>
      </c>
      <c r="O49" s="69">
        <f>+'Table 1'!AK47</f>
        <v>0</v>
      </c>
      <c r="P49" s="69">
        <f>+'Table 1'!AM47</f>
        <v>0</v>
      </c>
      <c r="Q49" s="69">
        <f>+'Table 1'!AN47</f>
        <v>0</v>
      </c>
      <c r="R49" s="69">
        <f>+'Table 1'!AR47</f>
        <v>0</v>
      </c>
      <c r="S49" s="69">
        <f>+'Table 1'!AS47</f>
        <v>0</v>
      </c>
      <c r="T49" s="69">
        <f>+'Table 1'!AT47</f>
        <v>0</v>
      </c>
      <c r="U49" s="69">
        <f>+'Table 1'!AU47</f>
        <v>0</v>
      </c>
      <c r="V49" s="69">
        <f>+'Table 1'!AV47</f>
        <v>0</v>
      </c>
      <c r="W49" s="595">
        <f>+'Table 1'!AW47</f>
        <v>0</v>
      </c>
      <c r="X49" s="596">
        <f>+'Table 1'!AX47</f>
        <v>0</v>
      </c>
      <c r="Y49" s="594"/>
      <c r="Z49" s="594"/>
      <c r="AA49" s="41"/>
    </row>
    <row r="50" spans="2:27" ht="12.75">
      <c r="B50" s="417" t="s">
        <v>468</v>
      </c>
      <c r="C50" s="42"/>
      <c r="D50" s="42"/>
      <c r="E50" s="51"/>
      <c r="F50" s="47"/>
      <c r="G50" s="52"/>
      <c r="H50" s="428">
        <f>+'Table 1'!AD48</f>
        <v>0</v>
      </c>
      <c r="I50" s="69"/>
      <c r="J50" s="69"/>
      <c r="K50" s="69"/>
      <c r="L50" s="69"/>
      <c r="M50" s="585">
        <f t="shared" si="8"/>
        <v>0</v>
      </c>
      <c r="N50" s="69">
        <f>+'Table 1'!AJ48</f>
        <v>0</v>
      </c>
      <c r="O50" s="69">
        <f>+'Table 1'!AK48</f>
        <v>0</v>
      </c>
      <c r="P50" s="69">
        <f>+'Table 1'!AM48</f>
        <v>880</v>
      </c>
      <c r="Q50" s="69">
        <f>+'Table 1'!AN48</f>
        <v>0</v>
      </c>
      <c r="R50" s="69">
        <f>+'Table 1'!AR48</f>
        <v>0</v>
      </c>
      <c r="S50" s="69">
        <f>+'Table 1'!AS48</f>
        <v>0</v>
      </c>
      <c r="T50" s="69">
        <f>+'Table 1'!AT48</f>
        <v>0</v>
      </c>
      <c r="U50" s="69">
        <f>+'Table 1'!AU48</f>
        <v>0</v>
      </c>
      <c r="V50" s="69">
        <f>+'Table 1'!AV48</f>
        <v>0</v>
      </c>
      <c r="W50" s="595">
        <f>+'Table 1'!AW48</f>
        <v>0</v>
      </c>
      <c r="X50" s="596">
        <f>+'Table 1'!AX48</f>
        <v>880</v>
      </c>
      <c r="Y50" s="594"/>
      <c r="Z50" s="594"/>
      <c r="AA50" s="41"/>
    </row>
    <row r="51" spans="2:27" ht="12.75">
      <c r="B51" s="417" t="s">
        <v>469</v>
      </c>
      <c r="C51" s="42"/>
      <c r="D51" s="42"/>
      <c r="E51" s="51"/>
      <c r="F51" s="47"/>
      <c r="G51" s="52"/>
      <c r="H51" s="428">
        <f>+'Table 1'!AD49</f>
        <v>0</v>
      </c>
      <c r="I51" s="69"/>
      <c r="J51" s="69"/>
      <c r="K51" s="69"/>
      <c r="L51" s="69"/>
      <c r="M51" s="585">
        <f t="shared" si="8"/>
        <v>0</v>
      </c>
      <c r="N51" s="69">
        <f>+'Table 1'!AJ49</f>
        <v>0</v>
      </c>
      <c r="O51" s="69">
        <f>+'Table 1'!AK49</f>
        <v>0</v>
      </c>
      <c r="P51" s="69">
        <f>+'Table 1'!AM49</f>
        <v>0</v>
      </c>
      <c r="Q51" s="69">
        <f>+'Table 1'!AN49</f>
        <v>100</v>
      </c>
      <c r="R51" s="69">
        <f>+'Table 1'!AR49</f>
        <v>0</v>
      </c>
      <c r="S51" s="69">
        <f>+'Table 1'!AS49</f>
        <v>0</v>
      </c>
      <c r="T51" s="69">
        <f>+'Table 1'!AT49</f>
        <v>0</v>
      </c>
      <c r="U51" s="69">
        <f>+'Table 1'!AU49</f>
        <v>0</v>
      </c>
      <c r="V51" s="69">
        <f>+'Table 1'!AV49</f>
        <v>0</v>
      </c>
      <c r="W51" s="595">
        <f>+'Table 1'!AW49</f>
        <v>0</v>
      </c>
      <c r="X51" s="596">
        <f>+'Table 1'!AX49</f>
        <v>100</v>
      </c>
      <c r="Y51" s="594"/>
      <c r="Z51" s="594"/>
      <c r="AA51" s="41"/>
    </row>
    <row r="52" spans="1:27" s="33" customFormat="1" ht="12.75">
      <c r="A52" s="50" t="s">
        <v>68</v>
      </c>
      <c r="B52" s="65"/>
      <c r="C52" s="65"/>
      <c r="D52" s="65"/>
      <c r="E52" s="449"/>
      <c r="F52" s="74"/>
      <c r="G52" s="75"/>
      <c r="H52" s="445">
        <f>SUM(H47:H51)</f>
        <v>0</v>
      </c>
      <c r="I52" s="445">
        <f>SUM(I47:I51)</f>
        <v>0</v>
      </c>
      <c r="J52" s="445">
        <f>SUM(J47:J51)</f>
        <v>0</v>
      </c>
      <c r="K52" s="445">
        <f>SUM(K47:K51)</f>
        <v>3070</v>
      </c>
      <c r="L52" s="445">
        <f>SUM(L47:L51)</f>
        <v>272</v>
      </c>
      <c r="M52" s="587">
        <f t="shared" si="8"/>
        <v>3342</v>
      </c>
      <c r="N52" s="445">
        <f aca="true" t="shared" si="13" ref="N52:X52">SUM(N47:N51)</f>
        <v>3070</v>
      </c>
      <c r="O52" s="445">
        <f t="shared" si="13"/>
        <v>0</v>
      </c>
      <c r="P52" s="445">
        <f t="shared" si="13"/>
        <v>880</v>
      </c>
      <c r="Q52" s="445">
        <f t="shared" si="13"/>
        <v>100</v>
      </c>
      <c r="R52" s="445">
        <f t="shared" si="13"/>
        <v>0</v>
      </c>
      <c r="S52" s="445">
        <f t="shared" si="13"/>
        <v>0</v>
      </c>
      <c r="T52" s="445">
        <f t="shared" si="13"/>
        <v>0</v>
      </c>
      <c r="U52" s="445">
        <f t="shared" si="13"/>
        <v>0</v>
      </c>
      <c r="V52" s="445">
        <f t="shared" si="13"/>
        <v>0</v>
      </c>
      <c r="W52" s="598">
        <f t="shared" si="13"/>
        <v>0</v>
      </c>
      <c r="X52" s="77">
        <f t="shared" si="13"/>
        <v>5200</v>
      </c>
      <c r="Y52" s="599"/>
      <c r="Z52" s="600"/>
      <c r="AA52" s="50"/>
    </row>
    <row r="53" spans="2:27" ht="13.5" thickBot="1">
      <c r="B53" s="42"/>
      <c r="C53" s="42"/>
      <c r="D53" s="42"/>
      <c r="E53" s="51"/>
      <c r="F53" s="47"/>
      <c r="G53" s="52"/>
      <c r="H53" s="482"/>
      <c r="I53" s="463"/>
      <c r="J53" s="463"/>
      <c r="K53" s="463"/>
      <c r="L53" s="463"/>
      <c r="M53" s="585">
        <f t="shared" si="8"/>
        <v>0</v>
      </c>
      <c r="N53" s="463"/>
      <c r="O53" s="463"/>
      <c r="P53" s="463"/>
      <c r="Q53" s="463"/>
      <c r="R53" s="463"/>
      <c r="S53" s="463"/>
      <c r="T53" s="463"/>
      <c r="U53" s="463"/>
      <c r="V53" s="463"/>
      <c r="W53" s="601"/>
      <c r="X53" s="77"/>
      <c r="Y53" s="594"/>
      <c r="Z53" s="594"/>
      <c r="AA53" s="41"/>
    </row>
    <row r="54" spans="1:26" s="33" customFormat="1" ht="13.5" thickBot="1">
      <c r="A54" s="79"/>
      <c r="B54" s="25"/>
      <c r="C54" s="25"/>
      <c r="D54" s="25" t="s">
        <v>69</v>
      </c>
      <c r="E54" s="487">
        <f aca="true" t="shared" si="14" ref="E54:L54">E43-E52</f>
        <v>0</v>
      </c>
      <c r="F54" s="80">
        <f t="shared" si="14"/>
        <v>0</v>
      </c>
      <c r="G54" s="81">
        <f t="shared" si="14"/>
        <v>0</v>
      </c>
      <c r="H54" s="430">
        <f t="shared" si="14"/>
        <v>6150.448685832279</v>
      </c>
      <c r="I54" s="430">
        <f t="shared" si="14"/>
        <v>469.489518417523</v>
      </c>
      <c r="J54" s="430">
        <f t="shared" si="14"/>
        <v>1210.0239001938494</v>
      </c>
      <c r="K54" s="430">
        <f t="shared" si="14"/>
        <v>1646.4658944326784</v>
      </c>
      <c r="L54" s="430">
        <f t="shared" si="14"/>
        <v>200.47549438631438</v>
      </c>
      <c r="M54" s="589">
        <f t="shared" si="8"/>
        <v>1846.941388818993</v>
      </c>
      <c r="N54" s="80">
        <f aca="true" t="shared" si="15" ref="N54:X54">N43-N52</f>
        <v>3556.035903026499</v>
      </c>
      <c r="O54" s="80">
        <f t="shared" si="15"/>
        <v>2521.6911612911676</v>
      </c>
      <c r="P54" s="80">
        <f t="shared" si="15"/>
        <v>-6.918375892828067</v>
      </c>
      <c r="Q54" s="80">
        <f t="shared" si="15"/>
        <v>0</v>
      </c>
      <c r="R54" s="80">
        <f t="shared" si="15"/>
        <v>2000.189046974822</v>
      </c>
      <c r="S54" s="80">
        <f t="shared" si="15"/>
        <v>873.0100373526984</v>
      </c>
      <c r="T54" s="80">
        <f t="shared" si="15"/>
        <v>883.3350058270938</v>
      </c>
      <c r="U54" s="80">
        <f t="shared" si="15"/>
        <v>494.7107253433544</v>
      </c>
      <c r="V54" s="80">
        <f t="shared" si="15"/>
        <v>650.0589160619331</v>
      </c>
      <c r="W54" s="468">
        <f t="shared" si="15"/>
        <v>290.03885572191007</v>
      </c>
      <c r="X54" s="82">
        <f t="shared" si="15"/>
        <v>16262.59996153893</v>
      </c>
      <c r="Y54" s="35"/>
      <c r="Z54" s="40"/>
    </row>
    <row r="55" spans="1:24" ht="12.75">
      <c r="A55"/>
      <c r="X55"/>
    </row>
    <row r="56" spans="1:24" ht="12.75">
      <c r="A56"/>
      <c r="N56" s="452"/>
      <c r="X56"/>
    </row>
    <row r="57" spans="1:24" ht="12.75">
      <c r="A57"/>
      <c r="N57" s="452"/>
      <c r="X57"/>
    </row>
    <row r="58" spans="1:24" ht="12.75">
      <c r="A58"/>
      <c r="X58"/>
    </row>
    <row r="59" spans="1:24" ht="12.75">
      <c r="A59"/>
      <c r="X59"/>
    </row>
    <row r="60" spans="1:24" ht="12.75">
      <c r="A60"/>
      <c r="X60"/>
    </row>
    <row r="61" spans="1:24" ht="12.75">
      <c r="A61"/>
      <c r="X61"/>
    </row>
    <row r="62" spans="1:24" ht="12.75">
      <c r="A62"/>
      <c r="X62"/>
    </row>
    <row r="63" spans="1:24" ht="12.75">
      <c r="A63"/>
      <c r="X63"/>
    </row>
    <row r="64" spans="1:24" ht="12.75">
      <c r="A64"/>
      <c r="X64"/>
    </row>
    <row r="65" spans="1:24" ht="12.75">
      <c r="A65"/>
      <c r="X65"/>
    </row>
  </sheetData>
  <mergeCells count="1">
    <mergeCell ref="E1:G1"/>
  </mergeCells>
  <printOptions horizontalCentered="1" verticalCentered="1"/>
  <pageMargins left="0.35433070866141736" right="0.35433070866141736" top="0.67" bottom="0.46" header="0.3" footer="0.26"/>
  <pageSetup fitToHeight="1" fitToWidth="1" horizontalDpi="600" verticalDpi="600" orientation="landscape" paperSize="9" scale="69" r:id="rId3"/>
  <headerFooter alignWithMargins="0">
    <oddHeader>&amp;C&amp;"Arial,Bold"&amp;14TABLE 2 : Expense and funding allocation by cost center
2001 Budget</oddHeader>
    <oddFooter>&amp;R&amp;F  &amp;A 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workbookViewId="0" topLeftCell="A1">
      <pane xSplit="4170" ySplit="2400" topLeftCell="J39" activePane="bottomRight" state="split"/>
      <selection pane="topLeft" activeCell="A2" sqref="A1:A16384"/>
      <selection pane="topRight" activeCell="I1" sqref="I1"/>
      <selection pane="bottomLeft" activeCell="A48" sqref="A48:IV48"/>
      <selection pane="bottomRight" activeCell="Z12" sqref="Z12"/>
    </sheetView>
  </sheetViews>
  <sheetFormatPr defaultColWidth="9.140625" defaultRowHeight="12.75" outlineLevelCol="1"/>
  <cols>
    <col min="1" max="1" width="3.421875" style="41" customWidth="1"/>
    <col min="2" max="2" width="3.28125" style="0" customWidth="1"/>
    <col min="3" max="3" width="3.8515625" style="0" customWidth="1"/>
    <col min="4" max="4" width="25.421875" style="0" customWidth="1"/>
    <col min="5" max="5" width="0" style="0" hidden="1" customWidth="1"/>
    <col min="6" max="6" width="10.140625" style="0" hidden="1" customWidth="1"/>
    <col min="7" max="7" width="10.57421875" style="0" hidden="1" customWidth="1"/>
    <col min="8" max="8" width="0" style="0" hidden="1" customWidth="1"/>
    <col min="11" max="12" width="9.140625" style="0" customWidth="1" outlineLevel="1"/>
    <col min="15" max="23" width="0" style="0" hidden="1" customWidth="1"/>
    <col min="24" max="24" width="11.00390625" style="33" hidden="1" customWidth="1"/>
    <col min="25" max="25" width="11.57421875" style="0" hidden="1" customWidth="1"/>
  </cols>
  <sheetData>
    <row r="1" spans="1:26" s="33" customFormat="1" ht="15" customHeight="1" thickBot="1">
      <c r="A1" s="24" t="s">
        <v>503</v>
      </c>
      <c r="B1" s="25"/>
      <c r="C1" s="25"/>
      <c r="D1" s="26"/>
      <c r="E1" s="610" t="s">
        <v>467</v>
      </c>
      <c r="F1" s="611"/>
      <c r="G1" s="612"/>
      <c r="H1" s="28"/>
      <c r="I1" s="99" t="s">
        <v>504</v>
      </c>
      <c r="J1" s="105" t="s">
        <v>505</v>
      </c>
      <c r="K1" s="613" t="s">
        <v>66</v>
      </c>
      <c r="L1" s="614"/>
      <c r="M1" s="615"/>
      <c r="N1" s="603"/>
      <c r="O1" s="27"/>
      <c r="P1" s="27"/>
      <c r="Q1" s="27"/>
      <c r="R1" s="27"/>
      <c r="S1" s="27"/>
      <c r="T1" s="27"/>
      <c r="U1" s="27"/>
      <c r="V1" s="27"/>
      <c r="W1" s="27"/>
      <c r="X1" s="30"/>
      <c r="Y1" s="31"/>
      <c r="Z1" s="32"/>
    </row>
    <row r="2" spans="1:26" s="33" customFormat="1" ht="85.5" customHeight="1">
      <c r="A2" s="34" t="s">
        <v>71</v>
      </c>
      <c r="B2" s="35"/>
      <c r="C2" s="35"/>
      <c r="D2" s="35"/>
      <c r="E2" s="483" t="s">
        <v>28</v>
      </c>
      <c r="F2" s="484" t="s">
        <v>29</v>
      </c>
      <c r="G2" s="485" t="s">
        <v>31</v>
      </c>
      <c r="H2" s="426" t="s">
        <v>72</v>
      </c>
      <c r="I2" s="426" t="s">
        <v>407</v>
      </c>
      <c r="J2" s="426" t="s">
        <v>404</v>
      </c>
      <c r="K2" s="426" t="s">
        <v>66</v>
      </c>
      <c r="L2" s="426" t="s">
        <v>409</v>
      </c>
      <c r="M2" s="426" t="s">
        <v>66</v>
      </c>
      <c r="N2" s="590" t="s">
        <v>390</v>
      </c>
      <c r="O2" s="37" t="s">
        <v>27</v>
      </c>
      <c r="P2" s="38" t="s">
        <v>37</v>
      </c>
      <c r="Q2" s="38" t="s">
        <v>469</v>
      </c>
      <c r="R2" s="37" t="s">
        <v>30</v>
      </c>
      <c r="S2" s="37" t="s">
        <v>32</v>
      </c>
      <c r="T2" s="37" t="s">
        <v>33</v>
      </c>
      <c r="U2" s="37" t="s">
        <v>73</v>
      </c>
      <c r="V2" s="37" t="s">
        <v>35</v>
      </c>
      <c r="W2" s="38" t="s">
        <v>36</v>
      </c>
      <c r="X2" s="39" t="s">
        <v>74</v>
      </c>
      <c r="Y2" s="469" t="s">
        <v>411</v>
      </c>
      <c r="Z2" s="40"/>
    </row>
    <row r="3" spans="2:26" ht="12.75" customHeight="1">
      <c r="B3" s="42"/>
      <c r="C3" s="42"/>
      <c r="D3" s="42"/>
      <c r="E3" s="44"/>
      <c r="F3" s="45"/>
      <c r="G3" s="46"/>
      <c r="H3" s="478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4"/>
      <c r="X3" s="77"/>
      <c r="Y3" s="42"/>
      <c r="Z3" s="49"/>
    </row>
    <row r="4" spans="1:26" ht="12.75" customHeight="1">
      <c r="A4" s="50" t="s">
        <v>75</v>
      </c>
      <c r="B4" s="42"/>
      <c r="C4" s="42"/>
      <c r="D4" s="42"/>
      <c r="E4" s="44"/>
      <c r="F4" s="45"/>
      <c r="G4" s="46"/>
      <c r="H4" s="42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77"/>
      <c r="Y4" s="42"/>
      <c r="Z4" s="49"/>
    </row>
    <row r="5" spans="2:26" ht="12.75">
      <c r="B5" s="42" t="s">
        <v>76</v>
      </c>
      <c r="C5" s="42"/>
      <c r="D5" s="42"/>
      <c r="E5" s="116"/>
      <c r="F5" s="47"/>
      <c r="G5" s="119"/>
      <c r="H5" s="420"/>
      <c r="I5" s="47"/>
      <c r="J5" s="47"/>
      <c r="K5" s="47"/>
      <c r="L5" s="47"/>
      <c r="M5" s="47"/>
      <c r="N5" s="54"/>
      <c r="O5" s="54"/>
      <c r="P5" s="47"/>
      <c r="Q5" s="47"/>
      <c r="R5" s="47"/>
      <c r="S5" s="47"/>
      <c r="T5" s="47"/>
      <c r="U5" s="47"/>
      <c r="V5" s="47"/>
      <c r="W5" s="53"/>
      <c r="X5" s="77"/>
      <c r="Y5" s="42"/>
      <c r="Z5" s="49"/>
    </row>
    <row r="6" spans="2:26" ht="12.75">
      <c r="B6" s="42"/>
      <c r="C6" s="42" t="s">
        <v>77</v>
      </c>
      <c r="D6" s="42"/>
      <c r="E6" s="116"/>
      <c r="F6" s="47"/>
      <c r="G6" s="119"/>
      <c r="H6" s="479">
        <f>+'Table 1'!AD7</f>
        <v>1666.8</v>
      </c>
      <c r="I6" s="454">
        <f>+'Table 1'!AE7</f>
        <v>49.483082706766915</v>
      </c>
      <c r="J6" s="454">
        <f>+'Table 1'!AF7</f>
        <v>421.20000000000005</v>
      </c>
      <c r="K6" s="454">
        <f>+'Table 1'!AG7</f>
        <v>1635.316917293233</v>
      </c>
      <c r="L6" s="585">
        <f>+'Table 1'!AI7</f>
        <v>272</v>
      </c>
      <c r="M6" s="585">
        <f aca="true" t="shared" si="0" ref="M6:M37">SUM(K6:L6)</f>
        <v>1907.316917293233</v>
      </c>
      <c r="N6" s="454">
        <f>+'Table 1'!AJ7</f>
        <v>2106</v>
      </c>
      <c r="O6" s="454">
        <f>+'Table 1'!AK7</f>
        <v>1019.92</v>
      </c>
      <c r="P6" s="454">
        <f>+'Table 1'!AM7</f>
        <v>0</v>
      </c>
      <c r="Q6" s="454">
        <f>+'Table 1'!AN7</f>
        <v>0</v>
      </c>
      <c r="R6" s="454">
        <f>+'Table 1'!AR7</f>
        <v>0</v>
      </c>
      <c r="S6" s="454">
        <f>+'Table 1'!AS7</f>
        <v>0</v>
      </c>
      <c r="T6" s="454">
        <f>+'Table 1'!AT7</f>
        <v>0</v>
      </c>
      <c r="U6" s="454">
        <f>+'Table 1'!AU7</f>
        <v>0</v>
      </c>
      <c r="V6" s="454">
        <f>+'Table 1'!AV7</f>
        <v>0</v>
      </c>
      <c r="W6" s="465">
        <f>+'Table 1'!AW7</f>
        <v>0</v>
      </c>
      <c r="X6" s="456">
        <f>SUM(N6:W6)+H6</f>
        <v>4792.72</v>
      </c>
      <c r="Y6" s="55">
        <f>+X6+L6</f>
        <v>5064.72</v>
      </c>
      <c r="Z6" s="49"/>
    </row>
    <row r="7" spans="2:26" ht="12.75">
      <c r="B7" s="42"/>
      <c r="C7" s="417" t="s">
        <v>460</v>
      </c>
      <c r="D7" s="42"/>
      <c r="E7" s="51">
        <f>+'Table 1'!AO11</f>
        <v>0</v>
      </c>
      <c r="F7" s="47"/>
      <c r="G7" s="52">
        <f>+'Table 1'!AQ11</f>
        <v>0</v>
      </c>
      <c r="H7" s="480">
        <f>+'Table 1'!AD11</f>
        <v>0</v>
      </c>
      <c r="I7" s="454">
        <f>+'Table 1'!AE11</f>
        <v>22.086466165413533</v>
      </c>
      <c r="J7" s="454">
        <f>+'Table 1'!AF11</f>
        <v>188</v>
      </c>
      <c r="K7" s="454">
        <f>+'Table 1'!AG11</f>
        <v>729.9135338345865</v>
      </c>
      <c r="L7" s="454">
        <f>+'Table 1'!AI11</f>
        <v>0</v>
      </c>
      <c r="M7" s="585">
        <f t="shared" si="0"/>
        <v>729.9135338345865</v>
      </c>
      <c r="N7" s="454">
        <f>+'Table 1'!AJ11</f>
        <v>940</v>
      </c>
      <c r="O7" s="454">
        <f>+'Table 1'!AK11</f>
        <v>436.8149998176327</v>
      </c>
      <c r="P7" s="454">
        <f>+'Table 1'!AM11</f>
        <v>0</v>
      </c>
      <c r="Q7" s="454">
        <f>+'Table 1'!AN11</f>
        <v>0</v>
      </c>
      <c r="R7" s="454">
        <f>+'Table 1'!AR11</f>
        <v>0</v>
      </c>
      <c r="S7" s="454">
        <f>+'Table 1'!AS11</f>
        <v>0</v>
      </c>
      <c r="T7" s="454">
        <f>+'Table 1'!AT11</f>
        <v>0</v>
      </c>
      <c r="U7" s="454">
        <f>+'Table 1'!AU11</f>
        <v>0</v>
      </c>
      <c r="V7" s="454">
        <f>+'Table 1'!AV11</f>
        <v>0</v>
      </c>
      <c r="W7" s="465">
        <f>+'Table 1'!AW11</f>
        <v>0</v>
      </c>
      <c r="X7" s="456">
        <f>SUM(N7:W7)+H7</f>
        <v>1376.8149998176327</v>
      </c>
      <c r="Y7" s="55">
        <f>+X7</f>
        <v>1376.8149998176327</v>
      </c>
      <c r="Z7" s="49"/>
    </row>
    <row r="8" spans="2:26" ht="8.25" customHeight="1">
      <c r="B8" s="42"/>
      <c r="C8" s="417"/>
      <c r="D8" s="42"/>
      <c r="E8" s="51"/>
      <c r="F8" s="47"/>
      <c r="G8" s="52"/>
      <c r="H8" s="420"/>
      <c r="I8" s="47"/>
      <c r="J8" s="47"/>
      <c r="K8" s="47"/>
      <c r="L8" s="47"/>
      <c r="M8" s="585">
        <f t="shared" si="0"/>
        <v>0</v>
      </c>
      <c r="N8" s="47"/>
      <c r="O8" s="47"/>
      <c r="P8" s="47"/>
      <c r="Q8" s="47"/>
      <c r="R8" s="47"/>
      <c r="S8" s="47"/>
      <c r="T8" s="47"/>
      <c r="U8" s="47"/>
      <c r="V8" s="47"/>
      <c r="W8" s="53"/>
      <c r="X8" s="77"/>
      <c r="Y8" s="55"/>
      <c r="Z8" s="49"/>
    </row>
    <row r="9" spans="2:27" ht="12.75">
      <c r="B9" s="57" t="s">
        <v>410</v>
      </c>
      <c r="D9" s="42"/>
      <c r="E9" s="51">
        <f aca="true" t="shared" si="1" ref="E9:L9">SUM(E6:E7)</f>
        <v>0</v>
      </c>
      <c r="F9" s="47">
        <f t="shared" si="1"/>
        <v>0</v>
      </c>
      <c r="G9" s="52">
        <f t="shared" si="1"/>
        <v>0</v>
      </c>
      <c r="H9" s="420">
        <f t="shared" si="1"/>
        <v>1666.8</v>
      </c>
      <c r="I9" s="47">
        <f t="shared" si="1"/>
        <v>71.56954887218045</v>
      </c>
      <c r="J9" s="47">
        <f t="shared" si="1"/>
        <v>609.2</v>
      </c>
      <c r="K9" s="47">
        <f t="shared" si="1"/>
        <v>2365.2304511278194</v>
      </c>
      <c r="L9" s="47">
        <f t="shared" si="1"/>
        <v>272</v>
      </c>
      <c r="M9" s="585">
        <f t="shared" si="0"/>
        <v>2637.2304511278194</v>
      </c>
      <c r="N9" s="47">
        <f aca="true" t="shared" si="2" ref="N9:W9">SUM(N6:N7)</f>
        <v>3046</v>
      </c>
      <c r="O9" s="47">
        <f t="shared" si="2"/>
        <v>1456.7349998176328</v>
      </c>
      <c r="P9" s="47">
        <f t="shared" si="2"/>
        <v>0</v>
      </c>
      <c r="Q9" s="47">
        <f t="shared" si="2"/>
        <v>0</v>
      </c>
      <c r="R9" s="47">
        <f t="shared" si="2"/>
        <v>0</v>
      </c>
      <c r="S9" s="47">
        <f t="shared" si="2"/>
        <v>0</v>
      </c>
      <c r="T9" s="47">
        <f t="shared" si="2"/>
        <v>0</v>
      </c>
      <c r="U9" s="47">
        <f t="shared" si="2"/>
        <v>0</v>
      </c>
      <c r="V9" s="47">
        <f t="shared" si="2"/>
        <v>0</v>
      </c>
      <c r="W9" s="53">
        <f t="shared" si="2"/>
        <v>0</v>
      </c>
      <c r="X9" s="77">
        <f>SUM(N9:W9)+H9</f>
        <v>6169.5349998176325</v>
      </c>
      <c r="Y9" s="420">
        <f>SUM(Y6:Y7)</f>
        <v>6441.534999817633</v>
      </c>
      <c r="Z9" s="420"/>
      <c r="AA9" s="452"/>
    </row>
    <row r="10" spans="2:26" ht="12.75">
      <c r="B10" s="42" t="s">
        <v>49</v>
      </c>
      <c r="C10" s="42"/>
      <c r="D10" s="42"/>
      <c r="E10" s="51">
        <f>+'Table 1'!AO22</f>
        <v>0</v>
      </c>
      <c r="F10" s="47">
        <f>+'Table 1'!AP22</f>
        <v>0</v>
      </c>
      <c r="G10" s="52">
        <f>+'Table 1'!AQ22</f>
        <v>0</v>
      </c>
      <c r="H10" s="420">
        <f>+'Table 1'!AD22</f>
        <v>160</v>
      </c>
      <c r="I10" s="47">
        <f>+'Table 1'!AE22</f>
        <v>18.796992481203006</v>
      </c>
      <c r="J10" s="47">
        <f>+'Table 1'!AF22</f>
        <v>160</v>
      </c>
      <c r="K10" s="47">
        <f>+'Table 1'!AG22</f>
        <v>532.4597207303974</v>
      </c>
      <c r="L10" s="47">
        <f>+'Table 1'!AI22</f>
        <v>59.16219119226638</v>
      </c>
      <c r="M10" s="585">
        <f t="shared" si="0"/>
        <v>591.6219119226638</v>
      </c>
      <c r="N10" s="47">
        <f>+'Table 1'!AJ22</f>
        <v>800</v>
      </c>
      <c r="O10" s="47">
        <f>+'Table 1'!AK22</f>
        <v>50</v>
      </c>
      <c r="P10" s="47">
        <f>+'Table 1'!AM22</f>
        <v>0</v>
      </c>
      <c r="Q10" s="47">
        <f>+'Table 1'!AN22</f>
        <v>0</v>
      </c>
      <c r="R10" s="47">
        <f>+'Table 1'!AR22</f>
        <v>0</v>
      </c>
      <c r="S10" s="47">
        <f>+'Table 1'!AS22</f>
        <v>0</v>
      </c>
      <c r="T10" s="47">
        <f>+'Table 1'!AT22</f>
        <v>0</v>
      </c>
      <c r="U10" s="47">
        <f>+'Table 1'!AU22</f>
        <v>0</v>
      </c>
      <c r="V10" s="47">
        <f>+'Table 1'!AV22</f>
        <v>0</v>
      </c>
      <c r="W10" s="53">
        <f>+'Table 1'!AW22</f>
        <v>0</v>
      </c>
      <c r="X10" s="77">
        <f>SUM(N10:W10)+H10</f>
        <v>1010</v>
      </c>
      <c r="Y10" s="55"/>
      <c r="Z10" s="49"/>
    </row>
    <row r="11" spans="2:26" ht="12.75">
      <c r="B11" s="57" t="s">
        <v>339</v>
      </c>
      <c r="C11" s="42"/>
      <c r="D11" s="42"/>
      <c r="E11" s="51"/>
      <c r="F11" s="47"/>
      <c r="G11" s="52"/>
      <c r="H11" s="420"/>
      <c r="I11" s="47">
        <f>+'Table 1'!AE27</f>
        <v>9.63345864661654</v>
      </c>
      <c r="J11" s="47">
        <f>+'Table 1'!AF27</f>
        <v>80.0733082706767</v>
      </c>
      <c r="K11" s="47">
        <f>+'Table 1'!AG27</f>
        <v>320.29323308270676</v>
      </c>
      <c r="L11" s="47">
        <f>+'Table 1'!AI27</f>
        <v>0</v>
      </c>
      <c r="M11" s="585">
        <f t="shared" si="0"/>
        <v>320.29323308270676</v>
      </c>
      <c r="N11" s="47">
        <f>+'Table 1'!AJ27</f>
        <v>410</v>
      </c>
      <c r="O11" s="47">
        <f>+'Table 1'!AK27</f>
        <v>0</v>
      </c>
      <c r="P11" s="47">
        <f>+'Table 1'!AM27</f>
        <v>700</v>
      </c>
      <c r="Q11" s="47">
        <f>+'Table 1'!AN27</f>
        <v>100</v>
      </c>
      <c r="R11" s="47">
        <f>+'Table 1'!AR27</f>
        <v>400</v>
      </c>
      <c r="S11" s="47">
        <f>+'Table 1'!AS27</f>
        <v>0</v>
      </c>
      <c r="T11" s="47">
        <f>+'Table 1'!AT27</f>
        <v>0</v>
      </c>
      <c r="U11" s="47">
        <f>+'Table 1'!AU27</f>
        <v>0</v>
      </c>
      <c r="V11" s="47">
        <f>+'Table 1'!AV27</f>
        <v>0</v>
      </c>
      <c r="W11" s="53">
        <f>+'Table 1'!AW27</f>
        <v>0</v>
      </c>
      <c r="X11" s="77">
        <f>SUM(N11:W11)+H11</f>
        <v>1610</v>
      </c>
      <c r="Y11" s="55"/>
      <c r="Z11" s="49"/>
    </row>
    <row r="12" spans="2:26" ht="12.75">
      <c r="B12" s="42" t="s">
        <v>81</v>
      </c>
      <c r="C12" s="42"/>
      <c r="D12" s="42"/>
      <c r="E12" s="51"/>
      <c r="F12" s="47"/>
      <c r="G12" s="52"/>
      <c r="H12" s="420">
        <f>+'Table 1'!AG30</f>
        <v>0</v>
      </c>
      <c r="I12" s="47">
        <f>+'Table 1'!AH30</f>
        <v>0</v>
      </c>
      <c r="J12" s="47">
        <f>+'Table 1'!AI30</f>
        <v>0</v>
      </c>
      <c r="K12" s="47">
        <f>+'Table 1'!AJ30</f>
        <v>0</v>
      </c>
      <c r="L12" s="47">
        <f>+'Table 1'!AL30</f>
        <v>0</v>
      </c>
      <c r="M12" s="585">
        <f t="shared" si="0"/>
        <v>0</v>
      </c>
      <c r="N12" s="47">
        <f>+'Table 1'!AM30</f>
        <v>0</v>
      </c>
      <c r="O12" s="47">
        <f>+'Table 1'!AO30</f>
        <v>0</v>
      </c>
      <c r="P12" s="47">
        <f>+'Table 1'!AQ30</f>
        <v>0</v>
      </c>
      <c r="Q12" s="47">
        <f>+'Table 1'!AR30</f>
        <v>0</v>
      </c>
      <c r="R12" s="47">
        <f>+'Table 1'!AR30</f>
        <v>0</v>
      </c>
      <c r="S12" s="47">
        <f>+'Table 1'!AS30</f>
        <v>0</v>
      </c>
      <c r="T12" s="47">
        <f>+'Table 1'!AT30</f>
        <v>0</v>
      </c>
      <c r="U12" s="47">
        <f>+'Table 1'!AU30</f>
        <v>210</v>
      </c>
      <c r="V12" s="47">
        <f>+'Table 1'!AV30</f>
        <v>0</v>
      </c>
      <c r="W12" s="53">
        <f>+'Table 1'!AW30</f>
        <v>0</v>
      </c>
      <c r="X12" s="77">
        <f>SUM(N12:W12)+H12</f>
        <v>210</v>
      </c>
      <c r="Y12" s="55"/>
      <c r="Z12" s="49"/>
    </row>
    <row r="13" spans="2:26" ht="12.75">
      <c r="B13" s="42"/>
      <c r="C13" s="42"/>
      <c r="D13" s="42"/>
      <c r="E13" s="51"/>
      <c r="F13" s="47"/>
      <c r="G13" s="52"/>
      <c r="H13" s="420"/>
      <c r="I13" s="47"/>
      <c r="J13" s="47"/>
      <c r="K13" s="47"/>
      <c r="L13" s="47"/>
      <c r="M13" s="585">
        <f t="shared" si="0"/>
        <v>0</v>
      </c>
      <c r="N13" s="47"/>
      <c r="O13" s="47"/>
      <c r="P13" s="47"/>
      <c r="Q13" s="47"/>
      <c r="R13" s="47"/>
      <c r="S13" s="47"/>
      <c r="T13" s="47"/>
      <c r="U13" s="47"/>
      <c r="V13" s="47"/>
      <c r="W13" s="53"/>
      <c r="X13" s="77"/>
      <c r="Y13" s="55"/>
      <c r="Z13" s="49"/>
    </row>
    <row r="14" spans="1:26" s="59" customFormat="1" ht="12.75">
      <c r="A14" s="58"/>
      <c r="D14" s="59" t="s">
        <v>85</v>
      </c>
      <c r="E14" s="61"/>
      <c r="F14" s="62"/>
      <c r="G14" s="457"/>
      <c r="H14" s="460">
        <f>SUM(H9:H12)</f>
        <v>1826.8</v>
      </c>
      <c r="I14" s="62">
        <f>SUM(I9:I12)</f>
        <v>100</v>
      </c>
      <c r="J14" s="62">
        <f>SUM(J9:J12)</f>
        <v>849.2733082706768</v>
      </c>
      <c r="K14" s="62">
        <f>SUM(K9:K12)</f>
        <v>3217.9834049409233</v>
      </c>
      <c r="L14" s="62">
        <f>SUM(L9:L12)</f>
        <v>331.1621911922664</v>
      </c>
      <c r="M14" s="586">
        <f t="shared" si="0"/>
        <v>3549.1455961331894</v>
      </c>
      <c r="N14" s="62">
        <f aca="true" t="shared" si="3" ref="N14:X14">SUM(N9:N12)</f>
        <v>4256</v>
      </c>
      <c r="O14" s="62">
        <f t="shared" si="3"/>
        <v>1506.7349998176328</v>
      </c>
      <c r="P14" s="62">
        <f t="shared" si="3"/>
        <v>700</v>
      </c>
      <c r="Q14" s="62">
        <f t="shared" si="3"/>
        <v>100</v>
      </c>
      <c r="R14" s="62">
        <f t="shared" si="3"/>
        <v>400</v>
      </c>
      <c r="S14" s="62">
        <f t="shared" si="3"/>
        <v>0</v>
      </c>
      <c r="T14" s="62">
        <f t="shared" si="3"/>
        <v>0</v>
      </c>
      <c r="U14" s="62">
        <f t="shared" si="3"/>
        <v>210</v>
      </c>
      <c r="V14" s="62">
        <f t="shared" si="3"/>
        <v>0</v>
      </c>
      <c r="W14" s="63">
        <f t="shared" si="3"/>
        <v>0</v>
      </c>
      <c r="X14" s="64">
        <f t="shared" si="3"/>
        <v>8999.534999817632</v>
      </c>
      <c r="Y14" s="458"/>
      <c r="Z14" s="98"/>
    </row>
    <row r="15" spans="2:26" ht="12.75">
      <c r="B15" s="42"/>
      <c r="C15" s="42"/>
      <c r="D15" s="42"/>
      <c r="E15" s="51"/>
      <c r="F15" s="47"/>
      <c r="G15" s="52"/>
      <c r="H15" s="420"/>
      <c r="I15" s="47"/>
      <c r="J15" s="47"/>
      <c r="K15" s="47"/>
      <c r="L15" s="47"/>
      <c r="M15" s="585">
        <f t="shared" si="0"/>
        <v>0</v>
      </c>
      <c r="N15" s="47"/>
      <c r="O15" s="47"/>
      <c r="P15" s="47"/>
      <c r="Q15" s="47"/>
      <c r="R15" s="47"/>
      <c r="S15" s="47"/>
      <c r="T15" s="47"/>
      <c r="U15" s="47"/>
      <c r="V15" s="47"/>
      <c r="W15" s="53"/>
      <c r="X15" s="77"/>
      <c r="Y15" s="55"/>
      <c r="Z15" s="49"/>
    </row>
    <row r="16" spans="1:26" ht="12.75">
      <c r="A16" s="477" t="s">
        <v>453</v>
      </c>
      <c r="B16" s="42"/>
      <c r="C16" s="42"/>
      <c r="D16" s="42"/>
      <c r="E16" s="51"/>
      <c r="F16" s="47"/>
      <c r="G16" s="52"/>
      <c r="H16" s="420"/>
      <c r="I16" s="47"/>
      <c r="J16" s="47"/>
      <c r="K16" s="47"/>
      <c r="L16" s="47"/>
      <c r="M16" s="585">
        <f t="shared" si="0"/>
        <v>0</v>
      </c>
      <c r="N16" s="47"/>
      <c r="O16" s="47"/>
      <c r="P16" s="47"/>
      <c r="Q16" s="47"/>
      <c r="R16" s="47"/>
      <c r="S16" s="47"/>
      <c r="T16" s="47"/>
      <c r="U16" s="47"/>
      <c r="V16" s="47"/>
      <c r="W16" s="53"/>
      <c r="X16" s="77"/>
      <c r="Y16" s="55"/>
      <c r="Z16" s="49"/>
    </row>
    <row r="17" spans="2:26" ht="12.75">
      <c r="B17" s="417" t="s">
        <v>461</v>
      </c>
      <c r="D17" s="42"/>
      <c r="E17" s="51">
        <f>+'Table 1'!AO17</f>
        <v>1520.0318196287972</v>
      </c>
      <c r="F17" s="47">
        <f>+'Table 1'!AP17</f>
        <v>0</v>
      </c>
      <c r="G17" s="52">
        <f>+'Table 1'!AQ17</f>
        <v>631.0277273011411</v>
      </c>
      <c r="H17" s="420">
        <f>+'Table 1'!AD17</f>
        <v>1928.8062788553982</v>
      </c>
      <c r="I17" s="47">
        <f>+'Table 1'!AE17</f>
        <v>218.68983880224698</v>
      </c>
      <c r="J17" s="47">
        <f>+'Table 1'!AF17</f>
        <v>29.120999987842183</v>
      </c>
      <c r="K17" s="47">
        <f>+'Table 1'!AG17</f>
        <v>177.46515466815288</v>
      </c>
      <c r="L17" s="47">
        <f>+'Table 1'!AI17</f>
        <v>0</v>
      </c>
      <c r="M17" s="585">
        <f t="shared" si="0"/>
        <v>177.46515466815288</v>
      </c>
      <c r="N17" s="47">
        <f>+'Table 1'!AJ17</f>
        <v>425.27599345824206</v>
      </c>
      <c r="O17" s="47">
        <f>+'Table 1'!AK17</f>
        <v>169.87607385389876</v>
      </c>
      <c r="P17" s="47">
        <f>+'Table 1'!AM17</f>
        <v>113.90439502753641</v>
      </c>
      <c r="Q17" s="47">
        <f>+'Table 1'!AN17</f>
        <v>0</v>
      </c>
      <c r="R17" s="47">
        <f>+'Table 1'!AR17</f>
        <v>954.9846827173172</v>
      </c>
      <c r="S17" s="47">
        <f>+'Table 1'!AS17</f>
        <v>394.9057860235715</v>
      </c>
      <c r="T17" s="47">
        <f>+'Table 1'!AT17</f>
        <v>519.8294145303332</v>
      </c>
      <c r="U17" s="47">
        <f>+'Table 1'!AU17</f>
        <v>187.36710552245205</v>
      </c>
      <c r="V17" s="47">
        <f>+'Table 1'!AV17</f>
        <v>296.1821558193888</v>
      </c>
      <c r="W17" s="53">
        <f>+'Table 1'!AW17</f>
        <v>190.87352898322007</v>
      </c>
      <c r="X17" s="77">
        <f>SUM(N17:W17)+H17</f>
        <v>5182.005414791359</v>
      </c>
      <c r="Y17" s="55">
        <f>+X17</f>
        <v>5182.005414791359</v>
      </c>
      <c r="Z17" s="49"/>
    </row>
    <row r="18" spans="2:26" ht="12.75">
      <c r="B18" s="42" t="s">
        <v>49</v>
      </c>
      <c r="D18" s="42"/>
      <c r="E18" s="51">
        <f>+'Table 1'!AO26</f>
        <v>18.88362873707301</v>
      </c>
      <c r="F18" s="47">
        <f>+'Table 1'!AP26</f>
        <v>0</v>
      </c>
      <c r="G18" s="52">
        <f>+'Table 1'!AQ26</f>
        <v>18.88362873707301</v>
      </c>
      <c r="H18" s="420">
        <f>+'Table 1'!AD26</f>
        <v>201.8019648801315</v>
      </c>
      <c r="I18" s="47">
        <f>+'Table 1'!AE26</f>
        <v>0</v>
      </c>
      <c r="J18" s="47">
        <f>+'Table 1'!AF26</f>
        <v>0</v>
      </c>
      <c r="K18" s="47">
        <f>+'Table 1'!AG26</f>
        <v>0</v>
      </c>
      <c r="L18" s="47">
        <f>+'Table 1'!AI26</f>
        <v>0</v>
      </c>
      <c r="M18" s="585">
        <f t="shared" si="0"/>
        <v>0</v>
      </c>
      <c r="N18" s="47">
        <f>+'Table 1'!AJ26</f>
        <v>0</v>
      </c>
      <c r="O18" s="47">
        <f>+'Table 1'!AK26</f>
        <v>0</v>
      </c>
      <c r="P18" s="47">
        <f>+'Table 1'!AM26</f>
        <v>0</v>
      </c>
      <c r="Q18" s="47">
        <f>+'Table 1'!AN26</f>
        <v>0</v>
      </c>
      <c r="R18" s="47">
        <f>+'Table 1'!AR26</f>
        <v>149.05715832182847</v>
      </c>
      <c r="S18" s="47">
        <f>+'Table 1'!AS26</f>
        <v>147.9371885591532</v>
      </c>
      <c r="T18" s="47">
        <f>+'Table 1'!AT26</f>
        <v>93.43643076474075</v>
      </c>
      <c r="U18" s="47">
        <f>+'Table 1'!AU26</f>
        <v>0</v>
      </c>
      <c r="V18" s="47">
        <f>+'Table 1'!AV26</f>
        <v>0</v>
      </c>
      <c r="W18" s="53">
        <f>+'Table 1'!AW26</f>
        <v>0</v>
      </c>
      <c r="X18" s="77">
        <f>SUM(N18:W18)+H18</f>
        <v>592.2327425258538</v>
      </c>
      <c r="Y18" s="55"/>
      <c r="Z18" s="49"/>
    </row>
    <row r="19" spans="2:26" ht="12.75">
      <c r="B19" s="42" t="s">
        <v>80</v>
      </c>
      <c r="C19" s="42"/>
      <c r="D19" s="42"/>
      <c r="E19" s="51"/>
      <c r="F19" s="47"/>
      <c r="G19" s="52"/>
      <c r="H19" s="420">
        <f>+'Table 1'!AD29</f>
        <v>200</v>
      </c>
      <c r="I19" s="47">
        <f>+'Table 1'!AE29</f>
        <v>0</v>
      </c>
      <c r="J19" s="47">
        <f>+'Table 1'!AF29</f>
        <v>0</v>
      </c>
      <c r="K19" s="47">
        <f>+'Table 1'!AG29</f>
        <v>0</v>
      </c>
      <c r="L19" s="47">
        <f>+'Table 1'!AI29</f>
        <v>0</v>
      </c>
      <c r="M19" s="585">
        <f t="shared" si="0"/>
        <v>0</v>
      </c>
      <c r="N19" s="47">
        <f>+'Table 1'!AJ29</f>
        <v>0</v>
      </c>
      <c r="O19" s="47">
        <f>+'Table 1'!AK29</f>
        <v>0</v>
      </c>
      <c r="P19" s="47">
        <f>+'Table 1'!AM29</f>
        <v>0</v>
      </c>
      <c r="Q19" s="47">
        <f>+'Table 1'!AN29</f>
        <v>0</v>
      </c>
      <c r="R19" s="47">
        <f>+'Table 1'!AR29</f>
        <v>0</v>
      </c>
      <c r="S19" s="47">
        <f>+'Table 1'!AS29</f>
        <v>0</v>
      </c>
      <c r="T19" s="47">
        <f>+'Table 1'!AT29</f>
        <v>0</v>
      </c>
      <c r="U19" s="47">
        <f>+'Table 1'!AU29</f>
        <v>0</v>
      </c>
      <c r="V19" s="47">
        <f>+'Table 1'!AV29</f>
        <v>200</v>
      </c>
      <c r="W19" s="53">
        <f>+'Table 1'!AW29</f>
        <v>0</v>
      </c>
      <c r="X19" s="77">
        <f>SUM(N19:W19)+H19</f>
        <v>400</v>
      </c>
      <c r="Y19" s="55"/>
      <c r="Z19" s="49"/>
    </row>
    <row r="20" spans="2:27" ht="12.75">
      <c r="B20" s="57" t="s">
        <v>82</v>
      </c>
      <c r="C20" s="42"/>
      <c r="D20" s="42"/>
      <c r="E20" s="51"/>
      <c r="F20" s="47"/>
      <c r="G20" s="52"/>
      <c r="H20" s="420">
        <f>+'Table 1'!AD28</f>
        <v>125.00000000000003</v>
      </c>
      <c r="I20" s="47">
        <f>+'Table 1'!AE28</f>
        <v>0</v>
      </c>
      <c r="J20" s="47">
        <f>+'Table 1'!AF28</f>
        <v>0</v>
      </c>
      <c r="K20" s="47">
        <f>+'Table 1'!AG28</f>
        <v>0</v>
      </c>
      <c r="L20" s="47">
        <f>+'Table 1'!AI28</f>
        <v>0</v>
      </c>
      <c r="M20" s="585">
        <f t="shared" si="0"/>
        <v>0</v>
      </c>
      <c r="N20" s="47">
        <f>+'Table 1'!AJ28</f>
        <v>0</v>
      </c>
      <c r="O20" s="47">
        <f>+'Table 1'!AK28</f>
        <v>0</v>
      </c>
      <c r="P20" s="47">
        <f>+'Table 1'!AM28</f>
        <v>0</v>
      </c>
      <c r="Q20" s="47">
        <f>+'Table 1'!AN28</f>
        <v>0</v>
      </c>
      <c r="R20" s="47">
        <f>+'Table 1'!AR28</f>
        <v>0</v>
      </c>
      <c r="S20" s="47">
        <f>+'Table 1'!AS28</f>
        <v>125</v>
      </c>
      <c r="T20" s="47">
        <f>+'Table 1'!AT28</f>
        <v>0</v>
      </c>
      <c r="U20" s="47">
        <f>+'Table 1'!AU28</f>
        <v>0</v>
      </c>
      <c r="V20" s="47">
        <f>+'Table 1'!AV28</f>
        <v>0</v>
      </c>
      <c r="W20" s="53">
        <f>+'Table 1'!AW28</f>
        <v>0</v>
      </c>
      <c r="X20" s="77">
        <f>SUM(N20:W20)+H20</f>
        <v>250.00000000000003</v>
      </c>
      <c r="Y20" s="55">
        <f>SUM(Y9:Y17)</f>
        <v>11623.540414608993</v>
      </c>
      <c r="Z20" s="420"/>
      <c r="AA20" s="452"/>
    </row>
    <row r="21" spans="2:26" ht="12.75">
      <c r="B21" s="57"/>
      <c r="C21" s="42"/>
      <c r="D21" s="42"/>
      <c r="E21" s="51"/>
      <c r="F21" s="47"/>
      <c r="G21" s="52"/>
      <c r="H21" s="420"/>
      <c r="I21" s="47"/>
      <c r="J21" s="47"/>
      <c r="K21" s="47"/>
      <c r="L21" s="47"/>
      <c r="M21" s="585">
        <f t="shared" si="0"/>
        <v>0</v>
      </c>
      <c r="N21" s="47"/>
      <c r="O21" s="47"/>
      <c r="P21" s="47"/>
      <c r="Q21" s="47"/>
      <c r="R21" s="47"/>
      <c r="S21" s="47"/>
      <c r="T21" s="47"/>
      <c r="U21" s="47"/>
      <c r="V21" s="47"/>
      <c r="W21" s="53"/>
      <c r="X21" s="77"/>
      <c r="Y21" s="55"/>
      <c r="Z21" s="49"/>
    </row>
    <row r="22" spans="1:26" s="59" customFormat="1" ht="12.75">
      <c r="A22" s="58"/>
      <c r="B22" s="459"/>
      <c r="D22" s="422" t="s">
        <v>464</v>
      </c>
      <c r="E22" s="61"/>
      <c r="F22" s="62"/>
      <c r="G22" s="457"/>
      <c r="H22" s="460">
        <f>SUM(H17:H21)</f>
        <v>2455.60824373553</v>
      </c>
      <c r="I22" s="62">
        <f>SUM(I17:I21)</f>
        <v>218.68983880224698</v>
      </c>
      <c r="J22" s="62">
        <f>SUM(J17:J21)</f>
        <v>29.120999987842183</v>
      </c>
      <c r="K22" s="62">
        <f>SUM(K17:K21)</f>
        <v>177.46515466815288</v>
      </c>
      <c r="L22" s="62">
        <f>SUM(L17:L21)</f>
        <v>0</v>
      </c>
      <c r="M22" s="586">
        <f t="shared" si="0"/>
        <v>177.46515466815288</v>
      </c>
      <c r="N22" s="62">
        <f aca="true" t="shared" si="4" ref="N22:W22">SUM(N17:N21)</f>
        <v>425.27599345824206</v>
      </c>
      <c r="O22" s="62">
        <f t="shared" si="4"/>
        <v>169.87607385389876</v>
      </c>
      <c r="P22" s="62">
        <f t="shared" si="4"/>
        <v>113.90439502753641</v>
      </c>
      <c r="Q22" s="62">
        <f t="shared" si="4"/>
        <v>0</v>
      </c>
      <c r="R22" s="62">
        <f t="shared" si="4"/>
        <v>1104.0418410391458</v>
      </c>
      <c r="S22" s="62">
        <f t="shared" si="4"/>
        <v>667.8429745827248</v>
      </c>
      <c r="T22" s="62">
        <f t="shared" si="4"/>
        <v>613.265845295074</v>
      </c>
      <c r="U22" s="62">
        <f t="shared" si="4"/>
        <v>187.36710552245205</v>
      </c>
      <c r="V22" s="62">
        <f t="shared" si="4"/>
        <v>496.1821558193888</v>
      </c>
      <c r="W22" s="63">
        <f t="shared" si="4"/>
        <v>190.87352898322007</v>
      </c>
      <c r="X22" s="64">
        <f>SUM(X17:X20)</f>
        <v>6424.238157317212</v>
      </c>
      <c r="Y22" s="458"/>
      <c r="Z22" s="98"/>
    </row>
    <row r="23" spans="2:26" ht="12.75">
      <c r="B23" s="57"/>
      <c r="C23" s="42"/>
      <c r="D23" s="42"/>
      <c r="E23" s="51"/>
      <c r="F23" s="47"/>
      <c r="G23" s="52"/>
      <c r="H23" s="420"/>
      <c r="I23" s="47"/>
      <c r="J23" s="47"/>
      <c r="K23" s="47"/>
      <c r="L23" s="47"/>
      <c r="M23" s="585">
        <f t="shared" si="0"/>
        <v>0</v>
      </c>
      <c r="N23" s="47"/>
      <c r="O23" s="47"/>
      <c r="P23" s="47"/>
      <c r="Q23" s="47"/>
      <c r="R23" s="47"/>
      <c r="S23" s="47"/>
      <c r="T23" s="47"/>
      <c r="U23" s="47"/>
      <c r="V23" s="47"/>
      <c r="W23" s="53"/>
      <c r="X23" s="77"/>
      <c r="Y23" s="55"/>
      <c r="Z23" s="49"/>
    </row>
    <row r="24" spans="1:26" ht="12.75">
      <c r="A24" s="451" t="s">
        <v>462</v>
      </c>
      <c r="B24" s="57"/>
      <c r="C24" s="42"/>
      <c r="D24" s="42"/>
      <c r="E24" s="51"/>
      <c r="F24" s="47"/>
      <c r="G24" s="52"/>
      <c r="H24" s="420"/>
      <c r="I24" s="47"/>
      <c r="J24" s="47"/>
      <c r="K24" s="47"/>
      <c r="L24" s="47"/>
      <c r="M24" s="585">
        <f t="shared" si="0"/>
        <v>0</v>
      </c>
      <c r="N24" s="47"/>
      <c r="O24" s="47"/>
      <c r="P24" s="47"/>
      <c r="Q24" s="47"/>
      <c r="R24" s="47"/>
      <c r="S24" s="47"/>
      <c r="T24" s="47"/>
      <c r="U24" s="47"/>
      <c r="V24" s="47"/>
      <c r="W24" s="53"/>
      <c r="X24" s="77"/>
      <c r="Y24" s="55"/>
      <c r="Z24" s="49"/>
    </row>
    <row r="25" spans="2:26" ht="12.75">
      <c r="B25" s="42" t="s">
        <v>78</v>
      </c>
      <c r="C25" s="42"/>
      <c r="D25" s="42"/>
      <c r="E25" s="51">
        <f>+'Table 1'!AO32</f>
        <v>675</v>
      </c>
      <c r="F25" s="47">
        <f>+'Table 1'!AP32</f>
        <v>225</v>
      </c>
      <c r="G25" s="52"/>
      <c r="H25" s="420"/>
      <c r="I25" s="47"/>
      <c r="J25" s="47"/>
      <c r="K25" s="47"/>
      <c r="L25" s="47"/>
      <c r="M25" s="585">
        <f t="shared" si="0"/>
        <v>0</v>
      </c>
      <c r="N25" s="47"/>
      <c r="O25" s="47"/>
      <c r="P25" s="47"/>
      <c r="Q25" s="47"/>
      <c r="R25" s="47"/>
      <c r="S25" s="47"/>
      <c r="T25" s="47"/>
      <c r="U25" s="47"/>
      <c r="V25" s="47"/>
      <c r="W25" s="53"/>
      <c r="X25" s="77">
        <f aca="true" t="shared" si="5" ref="X25:X33">SUM(N25:W25)+H25</f>
        <v>0</v>
      </c>
      <c r="Y25" s="55">
        <f aca="true" t="shared" si="6" ref="Y25:Y33">+X25</f>
        <v>0</v>
      </c>
      <c r="Z25" s="49"/>
    </row>
    <row r="26" spans="2:26" ht="12.75">
      <c r="B26" s="42" t="s">
        <v>79</v>
      </c>
      <c r="C26" s="42"/>
      <c r="D26" s="42"/>
      <c r="E26" s="51"/>
      <c r="F26" s="47">
        <f>+'Table 1'!AP36</f>
        <v>70</v>
      </c>
      <c r="G26" s="52"/>
      <c r="H26" s="420"/>
      <c r="I26" s="47"/>
      <c r="J26" s="47"/>
      <c r="K26" s="47"/>
      <c r="L26" s="47"/>
      <c r="M26" s="585">
        <f t="shared" si="0"/>
        <v>0</v>
      </c>
      <c r="N26" s="47"/>
      <c r="O26" s="47"/>
      <c r="P26" s="47"/>
      <c r="Q26" s="47"/>
      <c r="R26" s="47"/>
      <c r="S26" s="47"/>
      <c r="T26" s="47"/>
      <c r="U26" s="47"/>
      <c r="V26" s="47"/>
      <c r="W26" s="53"/>
      <c r="X26" s="77">
        <f t="shared" si="5"/>
        <v>0</v>
      </c>
      <c r="Y26" s="55">
        <f t="shared" si="6"/>
        <v>0</v>
      </c>
      <c r="Z26" s="49"/>
    </row>
    <row r="27" spans="2:26" ht="12.75">
      <c r="B27" s="42" t="s">
        <v>83</v>
      </c>
      <c r="C27" s="42"/>
      <c r="D27" s="42"/>
      <c r="E27" s="51">
        <f>+'Table 1'!AO38</f>
        <v>250</v>
      </c>
      <c r="F27" s="47"/>
      <c r="G27" s="52">
        <f>+'Table 1'!AQ31</f>
        <v>150</v>
      </c>
      <c r="H27" s="420"/>
      <c r="I27" s="47"/>
      <c r="J27" s="47"/>
      <c r="K27" s="47"/>
      <c r="L27" s="47"/>
      <c r="M27" s="585">
        <f t="shared" si="0"/>
        <v>0</v>
      </c>
      <c r="N27" s="47"/>
      <c r="O27" s="47"/>
      <c r="P27" s="47"/>
      <c r="Q27" s="47"/>
      <c r="R27" s="47"/>
      <c r="S27" s="47"/>
      <c r="T27" s="47"/>
      <c r="U27" s="47"/>
      <c r="V27" s="47"/>
      <c r="W27" s="53"/>
      <c r="X27" s="77">
        <f t="shared" si="5"/>
        <v>0</v>
      </c>
      <c r="Y27" s="55">
        <f t="shared" si="6"/>
        <v>0</v>
      </c>
      <c r="Z27" s="49"/>
    </row>
    <row r="28" spans="2:26" ht="12.75">
      <c r="B28" s="417" t="s">
        <v>463</v>
      </c>
      <c r="C28" s="42"/>
      <c r="D28" s="42"/>
      <c r="E28" s="51"/>
      <c r="F28" s="47"/>
      <c r="G28" s="52"/>
      <c r="H28" s="420"/>
      <c r="I28" s="47"/>
      <c r="J28" s="47"/>
      <c r="K28" s="47"/>
      <c r="L28" s="47"/>
      <c r="M28" s="585">
        <f t="shared" si="0"/>
        <v>0</v>
      </c>
      <c r="N28" s="47"/>
      <c r="O28" s="47"/>
      <c r="P28" s="47"/>
      <c r="Q28" s="47"/>
      <c r="R28" s="47"/>
      <c r="S28" s="47"/>
      <c r="T28" s="47"/>
      <c r="U28" s="47"/>
      <c r="V28" s="47"/>
      <c r="W28" s="53"/>
      <c r="X28" s="77">
        <f t="shared" si="5"/>
        <v>0</v>
      </c>
      <c r="Y28" s="55">
        <f t="shared" si="6"/>
        <v>0</v>
      </c>
      <c r="Z28" s="49"/>
    </row>
    <row r="29" spans="2:26" ht="12.75">
      <c r="B29" s="42"/>
      <c r="C29" s="42" t="s">
        <v>57</v>
      </c>
      <c r="D29" s="42"/>
      <c r="E29" s="51"/>
      <c r="F29" s="47">
        <f>+'Table 1'!AP34</f>
        <v>210</v>
      </c>
      <c r="G29" s="52"/>
      <c r="H29" s="420"/>
      <c r="I29" s="47"/>
      <c r="J29" s="47"/>
      <c r="K29" s="47"/>
      <c r="L29" s="47"/>
      <c r="M29" s="585">
        <f t="shared" si="0"/>
        <v>0</v>
      </c>
      <c r="N29" s="47"/>
      <c r="O29" s="47"/>
      <c r="P29" s="47"/>
      <c r="Q29" s="47"/>
      <c r="R29" s="47"/>
      <c r="S29" s="47"/>
      <c r="T29" s="47"/>
      <c r="U29" s="47"/>
      <c r="V29" s="47"/>
      <c r="W29" s="53"/>
      <c r="X29" s="77">
        <f t="shared" si="5"/>
        <v>0</v>
      </c>
      <c r="Y29" s="55">
        <f t="shared" si="6"/>
        <v>0</v>
      </c>
      <c r="Z29" s="49"/>
    </row>
    <row r="30" spans="2:26" ht="12.75">
      <c r="B30" s="42"/>
      <c r="C30" s="42" t="s">
        <v>58</v>
      </c>
      <c r="D30" s="42"/>
      <c r="E30" s="51"/>
      <c r="F30" s="47">
        <f>+'Table 1'!AP35</f>
        <v>550</v>
      </c>
      <c r="G30" s="52"/>
      <c r="H30" s="420"/>
      <c r="I30" s="47"/>
      <c r="J30" s="47"/>
      <c r="K30" s="47"/>
      <c r="L30" s="47"/>
      <c r="M30" s="585">
        <f t="shared" si="0"/>
        <v>0</v>
      </c>
      <c r="N30" s="47"/>
      <c r="O30" s="47"/>
      <c r="P30" s="47"/>
      <c r="Q30" s="47"/>
      <c r="R30" s="47"/>
      <c r="S30" s="47"/>
      <c r="T30" s="47"/>
      <c r="U30" s="47"/>
      <c r="V30" s="47"/>
      <c r="W30" s="53"/>
      <c r="X30" s="77">
        <f t="shared" si="5"/>
        <v>0</v>
      </c>
      <c r="Y30" s="55">
        <f t="shared" si="6"/>
        <v>0</v>
      </c>
      <c r="Z30" s="49"/>
    </row>
    <row r="31" spans="2:26" ht="12.75">
      <c r="B31" s="42"/>
      <c r="C31" s="42" t="s">
        <v>56</v>
      </c>
      <c r="D31" s="42"/>
      <c r="E31" s="51"/>
      <c r="F31" s="47">
        <f>+'Table 1'!AP33</f>
        <v>870</v>
      </c>
      <c r="G31" s="52"/>
      <c r="H31" s="420"/>
      <c r="I31" s="47"/>
      <c r="J31" s="47"/>
      <c r="K31" s="47"/>
      <c r="L31" s="47"/>
      <c r="M31" s="585">
        <f t="shared" si="0"/>
        <v>0</v>
      </c>
      <c r="N31" s="47"/>
      <c r="O31" s="47"/>
      <c r="P31" s="47"/>
      <c r="Q31" s="47"/>
      <c r="R31" s="47"/>
      <c r="S31" s="47"/>
      <c r="T31" s="47"/>
      <c r="U31" s="47"/>
      <c r="V31" s="47"/>
      <c r="W31" s="53"/>
      <c r="X31" s="77">
        <f t="shared" si="5"/>
        <v>0</v>
      </c>
      <c r="Y31" s="55">
        <f t="shared" si="6"/>
        <v>0</v>
      </c>
      <c r="Z31" s="49"/>
    </row>
    <row r="32" spans="2:26" ht="12.75">
      <c r="B32" s="42" t="s">
        <v>84</v>
      </c>
      <c r="C32" s="42"/>
      <c r="D32" s="42"/>
      <c r="E32" s="51"/>
      <c r="F32" s="47">
        <f>+'Table 1'!AP37</f>
        <v>450</v>
      </c>
      <c r="G32" s="52">
        <f>+'Table 1'!AQ37</f>
        <v>400</v>
      </c>
      <c r="H32" s="420"/>
      <c r="I32" s="47"/>
      <c r="J32" s="47"/>
      <c r="K32" s="47"/>
      <c r="L32" s="47"/>
      <c r="M32" s="585">
        <f t="shared" si="0"/>
        <v>0</v>
      </c>
      <c r="N32" s="47"/>
      <c r="O32" s="47"/>
      <c r="P32" s="47"/>
      <c r="Q32" s="47"/>
      <c r="R32" s="47"/>
      <c r="S32" s="47"/>
      <c r="T32" s="47"/>
      <c r="U32" s="47"/>
      <c r="V32" s="47"/>
      <c r="W32" s="53"/>
      <c r="X32" s="77">
        <f t="shared" si="5"/>
        <v>0</v>
      </c>
      <c r="Y32" s="55">
        <f t="shared" si="6"/>
        <v>0</v>
      </c>
      <c r="Z32" s="49"/>
    </row>
    <row r="33" spans="2:26" ht="12.75">
      <c r="B33" s="42"/>
      <c r="C33" s="42"/>
      <c r="D33" s="42"/>
      <c r="E33" s="51"/>
      <c r="F33" s="47"/>
      <c r="G33" s="52"/>
      <c r="H33" s="420"/>
      <c r="I33" s="47"/>
      <c r="J33" s="47"/>
      <c r="K33" s="47"/>
      <c r="L33" s="47"/>
      <c r="M33" s="585">
        <f t="shared" si="0"/>
        <v>0</v>
      </c>
      <c r="N33" s="47"/>
      <c r="O33" s="47"/>
      <c r="P33" s="47"/>
      <c r="Q33" s="47"/>
      <c r="R33" s="47"/>
      <c r="S33" s="47"/>
      <c r="T33" s="47"/>
      <c r="U33" s="47"/>
      <c r="V33" s="47"/>
      <c r="W33" s="53"/>
      <c r="X33" s="77">
        <f t="shared" si="5"/>
        <v>0</v>
      </c>
      <c r="Y33" s="55">
        <f t="shared" si="6"/>
        <v>0</v>
      </c>
      <c r="Z33" s="49"/>
    </row>
    <row r="34" spans="1:26" s="59" customFormat="1" ht="12.75">
      <c r="A34" s="58"/>
      <c r="D34" s="422" t="s">
        <v>465</v>
      </c>
      <c r="E34" s="61">
        <f>SUM(E17:E32)</f>
        <v>2463.9154483658704</v>
      </c>
      <c r="F34" s="62">
        <f>SUM(F17:F32)</f>
        <v>2375</v>
      </c>
      <c r="G34" s="457">
        <f>SUM(G17:G32)</f>
        <v>1199.911356038214</v>
      </c>
      <c r="H34" s="460"/>
      <c r="I34" s="62"/>
      <c r="J34" s="62"/>
      <c r="K34" s="62"/>
      <c r="L34" s="62"/>
      <c r="M34" s="586">
        <f t="shared" si="0"/>
        <v>0</v>
      </c>
      <c r="N34" s="62"/>
      <c r="O34" s="62"/>
      <c r="P34" s="62"/>
      <c r="Q34" s="62"/>
      <c r="R34" s="62"/>
      <c r="S34" s="62"/>
      <c r="T34" s="62"/>
      <c r="U34" s="62"/>
      <c r="V34" s="62"/>
      <c r="W34" s="63"/>
      <c r="X34" s="64"/>
      <c r="Y34" s="458"/>
      <c r="Z34" s="98"/>
    </row>
    <row r="35" spans="2:26" ht="12.75">
      <c r="B35" s="42"/>
      <c r="C35" s="42"/>
      <c r="D35" s="42"/>
      <c r="E35" s="51"/>
      <c r="F35" s="47"/>
      <c r="G35" s="52"/>
      <c r="H35" s="420"/>
      <c r="I35" s="47"/>
      <c r="J35" s="47"/>
      <c r="K35" s="47"/>
      <c r="L35" s="47"/>
      <c r="M35" s="585">
        <f t="shared" si="0"/>
        <v>0</v>
      </c>
      <c r="N35" s="47"/>
      <c r="O35" s="47"/>
      <c r="P35" s="47"/>
      <c r="Q35" s="47"/>
      <c r="R35" s="47"/>
      <c r="S35" s="47"/>
      <c r="T35" s="47"/>
      <c r="U35" s="47"/>
      <c r="V35" s="47"/>
      <c r="W35" s="53"/>
      <c r="X35" s="77"/>
      <c r="Y35" s="55"/>
      <c r="Z35" s="49"/>
    </row>
    <row r="36" spans="1:26" s="33" customFormat="1" ht="12.75">
      <c r="A36" s="58"/>
      <c r="B36" s="59"/>
      <c r="C36" s="59"/>
      <c r="D36" s="59" t="s">
        <v>85</v>
      </c>
      <c r="E36" s="61"/>
      <c r="F36" s="62"/>
      <c r="G36" s="457"/>
      <c r="H36" s="460">
        <f>+H34+H22+H14</f>
        <v>4282.40824373553</v>
      </c>
      <c r="I36" s="62">
        <f>+I34+I22+I14</f>
        <v>318.689838802247</v>
      </c>
      <c r="J36" s="62">
        <f>+J34+J22+J14</f>
        <v>878.394308258519</v>
      </c>
      <c r="K36" s="62">
        <f>+K34+K22+K14</f>
        <v>3395.4485596090763</v>
      </c>
      <c r="L36" s="62">
        <f>+L34+L22+L14</f>
        <v>331.1621911922664</v>
      </c>
      <c r="M36" s="586">
        <f t="shared" si="0"/>
        <v>3726.610750801343</v>
      </c>
      <c r="N36" s="62">
        <f aca="true" t="shared" si="7" ref="N36:X36">+N34+N22+N14</f>
        <v>4681.275993458242</v>
      </c>
      <c r="O36" s="62">
        <f t="shared" si="7"/>
        <v>1676.6110736715316</v>
      </c>
      <c r="P36" s="62">
        <f t="shared" si="7"/>
        <v>813.9043950275365</v>
      </c>
      <c r="Q36" s="62">
        <f t="shared" si="7"/>
        <v>100</v>
      </c>
      <c r="R36" s="62">
        <f t="shared" si="7"/>
        <v>1504.0418410391458</v>
      </c>
      <c r="S36" s="62">
        <f t="shared" si="7"/>
        <v>667.8429745827248</v>
      </c>
      <c r="T36" s="62">
        <f t="shared" si="7"/>
        <v>613.265845295074</v>
      </c>
      <c r="U36" s="62">
        <f t="shared" si="7"/>
        <v>397.36710552245205</v>
      </c>
      <c r="V36" s="62">
        <f t="shared" si="7"/>
        <v>496.1821558193888</v>
      </c>
      <c r="W36" s="63">
        <f t="shared" si="7"/>
        <v>190.87352898322007</v>
      </c>
      <c r="X36" s="64">
        <f t="shared" si="7"/>
        <v>15423.773157134845</v>
      </c>
      <c r="Y36" s="460"/>
      <c r="Z36" s="66"/>
    </row>
    <row r="37" spans="1:25" s="65" customFormat="1" ht="12.75">
      <c r="A37" s="50"/>
      <c r="E37" s="449"/>
      <c r="F37" s="74"/>
      <c r="G37" s="75"/>
      <c r="H37" s="445"/>
      <c r="I37" s="74"/>
      <c r="J37" s="74"/>
      <c r="K37" s="74"/>
      <c r="L37" s="74"/>
      <c r="M37" s="585">
        <f t="shared" si="0"/>
        <v>0</v>
      </c>
      <c r="N37" s="74"/>
      <c r="O37" s="74"/>
      <c r="P37" s="74"/>
      <c r="Q37" s="74"/>
      <c r="R37" s="74"/>
      <c r="S37" s="74"/>
      <c r="T37" s="74"/>
      <c r="U37" s="74"/>
      <c r="V37" s="74"/>
      <c r="W37" s="76"/>
      <c r="X37" s="450"/>
      <c r="Y37" s="429"/>
    </row>
    <row r="38" spans="1:26" s="33" customFormat="1" ht="12.75">
      <c r="A38" s="477" t="s">
        <v>466</v>
      </c>
      <c r="B38" s="65"/>
      <c r="C38" s="65"/>
      <c r="E38" s="449"/>
      <c r="F38" s="74"/>
      <c r="G38" s="75"/>
      <c r="H38" s="445"/>
      <c r="I38" s="74"/>
      <c r="J38" s="74"/>
      <c r="K38" s="74"/>
      <c r="L38" s="74"/>
      <c r="M38" s="585">
        <f aca="true" t="shared" si="8" ref="M38:M54">SUM(K38:L38)</f>
        <v>0</v>
      </c>
      <c r="N38" s="74"/>
      <c r="O38" s="74"/>
      <c r="P38" s="74"/>
      <c r="Q38" s="74"/>
      <c r="R38" s="74"/>
      <c r="S38" s="74"/>
      <c r="T38" s="74"/>
      <c r="U38" s="74"/>
      <c r="V38" s="74"/>
      <c r="W38" s="76"/>
      <c r="X38" s="77"/>
      <c r="Y38" s="429"/>
      <c r="Z38" s="66"/>
    </row>
    <row r="39" spans="1:26" s="33" customFormat="1" ht="12.75">
      <c r="A39" s="50"/>
      <c r="B39" s="417" t="s">
        <v>28</v>
      </c>
      <c r="C39" s="65"/>
      <c r="D39" s="65"/>
      <c r="E39" s="449"/>
      <c r="F39" s="74"/>
      <c r="G39" s="75"/>
      <c r="H39" s="445">
        <f>(H9+H17)/$Y$20*$E$34</f>
        <v>762.183426108142</v>
      </c>
      <c r="I39" s="74">
        <f>(I9+I17)/$Y$20*$E$34</f>
        <v>61.52811998875799</v>
      </c>
      <c r="J39" s="74">
        <f>(J9+J17)/$Y$20*$E$34</f>
        <v>135.3089434704135</v>
      </c>
      <c r="K39" s="74">
        <f>(K9+K17)/$Y$20*$E$34</f>
        <v>538.9912849391905</v>
      </c>
      <c r="L39" s="74">
        <f>(L9+L17)/$Y$20*$E$34</f>
        <v>57.657561986294446</v>
      </c>
      <c r="M39" s="587">
        <f t="shared" si="8"/>
        <v>596.6488469254849</v>
      </c>
      <c r="N39" s="74">
        <f>SUM(I39:L39)</f>
        <v>793.4859103846564</v>
      </c>
      <c r="O39" s="74">
        <f aca="true" t="shared" si="9" ref="O39:W39">(O9+O17)/$Y$20*$E$34</f>
        <v>344.8030470875342</v>
      </c>
      <c r="P39" s="74">
        <f t="shared" si="9"/>
        <v>24.145035723571876</v>
      </c>
      <c r="Q39" s="74">
        <f t="shared" si="9"/>
        <v>0</v>
      </c>
      <c r="R39" s="74">
        <f t="shared" si="9"/>
        <v>202.43414904314508</v>
      </c>
      <c r="S39" s="74">
        <f t="shared" si="9"/>
        <v>83.71067954558974</v>
      </c>
      <c r="T39" s="74">
        <f t="shared" si="9"/>
        <v>110.19153195066853</v>
      </c>
      <c r="U39" s="74">
        <f t="shared" si="9"/>
        <v>39.71739154725498</v>
      </c>
      <c r="V39" s="74">
        <f t="shared" si="9"/>
        <v>62.783606648495336</v>
      </c>
      <c r="W39" s="76">
        <f t="shared" si="9"/>
        <v>40.460670326811695</v>
      </c>
      <c r="X39" s="77">
        <f>SUM(N39:W39)+H39</f>
        <v>2463.91544836587</v>
      </c>
      <c r="Y39" s="429"/>
      <c r="Z39" s="445">
        <f>E36-X39</f>
        <v>-2463.91544836587</v>
      </c>
    </row>
    <row r="40" spans="1:26" s="33" customFormat="1" ht="12.75">
      <c r="A40" s="50"/>
      <c r="B40" s="42" t="s">
        <v>29</v>
      </c>
      <c r="C40" s="65"/>
      <c r="D40" s="65"/>
      <c r="E40" s="449"/>
      <c r="F40" s="74"/>
      <c r="G40" s="75"/>
      <c r="H40" s="445">
        <f>(H9+H17)/$Y$20*$F$34</f>
        <v>734.6784721072297</v>
      </c>
      <c r="I40" s="74">
        <f>(I9+I17)/$Y$20*$F$34</f>
        <v>59.30775143693213</v>
      </c>
      <c r="J40" s="74">
        <f>(J9+J17)/$Y$20*$F$34</f>
        <v>130.42604240148142</v>
      </c>
      <c r="K40" s="74">
        <f>(K9+K17)/$Y$20*$F$34</f>
        <v>519.5406776557913</v>
      </c>
      <c r="L40" s="74">
        <f>(L9+L17)/$Y$20*$F$34</f>
        <v>55.57687046780324</v>
      </c>
      <c r="M40" s="587">
        <f t="shared" si="8"/>
        <v>575.1175481235946</v>
      </c>
      <c r="N40" s="74">
        <f>SUM(I40:L40)</f>
        <v>764.8513419620082</v>
      </c>
      <c r="O40" s="74">
        <f aca="true" t="shared" si="10" ref="O40:W40">(O9+O17)/$Y$20*$F$34</f>
        <v>332.36012111373924</v>
      </c>
      <c r="P40" s="74">
        <f t="shared" si="10"/>
        <v>23.27371252999589</v>
      </c>
      <c r="Q40" s="74">
        <f t="shared" si="10"/>
        <v>0</v>
      </c>
      <c r="R40" s="74">
        <f t="shared" si="10"/>
        <v>195.12889709601663</v>
      </c>
      <c r="S40" s="74">
        <f t="shared" si="10"/>
        <v>80.68980778241934</v>
      </c>
      <c r="T40" s="74">
        <f t="shared" si="10"/>
        <v>106.21504425259678</v>
      </c>
      <c r="U40" s="74">
        <f t="shared" si="10"/>
        <v>38.28410791745787</v>
      </c>
      <c r="V40" s="74">
        <f t="shared" si="10"/>
        <v>60.51793128253267</v>
      </c>
      <c r="W40" s="76">
        <f t="shared" si="10"/>
        <v>39.00056395600335</v>
      </c>
      <c r="X40" s="77">
        <f>SUM(N40:W40)+H40</f>
        <v>2374.9999999999995</v>
      </c>
      <c r="Y40" s="429"/>
      <c r="Z40" s="445">
        <f>F36-X40</f>
        <v>-2374.9999999999995</v>
      </c>
    </row>
    <row r="41" spans="1:27" s="33" customFormat="1" ht="12.75">
      <c r="A41" s="50"/>
      <c r="B41" s="42" t="s">
        <v>31</v>
      </c>
      <c r="C41" s="65"/>
      <c r="D41" s="65"/>
      <c r="E41" s="449"/>
      <c r="F41" s="74"/>
      <c r="G41" s="75"/>
      <c r="H41" s="445">
        <f>(H9+H17)/$Y$20*$G$34</f>
        <v>371.1785438813765</v>
      </c>
      <c r="I41" s="74">
        <f>(I9+I17)/$Y$20*$G$34</f>
        <v>29.963808189585926</v>
      </c>
      <c r="J41" s="74">
        <f>(J9+J17)/$Y$20*$G$34</f>
        <v>65.89460606343545</v>
      </c>
      <c r="K41" s="74">
        <f>(K9+K17)/$Y$20*$G$34</f>
        <v>262.48537222862035</v>
      </c>
      <c r="L41" s="74">
        <f>(L9+L17)/$Y$20*$G$34</f>
        <v>28.078870739950297</v>
      </c>
      <c r="M41" s="587">
        <f t="shared" si="8"/>
        <v>290.5642429685706</v>
      </c>
      <c r="N41" s="74">
        <f>SUM(I41:L41)</f>
        <v>386.422657221592</v>
      </c>
      <c r="O41" s="74">
        <f aca="true" t="shared" si="11" ref="O41:W41">(O9+O17)/$Y$20*$G$34</f>
        <v>167.9169194183629</v>
      </c>
      <c r="P41" s="74">
        <f t="shared" si="11"/>
        <v>11.758480826067766</v>
      </c>
      <c r="Q41" s="74">
        <f t="shared" si="11"/>
        <v>0</v>
      </c>
      <c r="R41" s="74">
        <f t="shared" si="11"/>
        <v>98.58415979651471</v>
      </c>
      <c r="S41" s="74">
        <f t="shared" si="11"/>
        <v>40.76657544196447</v>
      </c>
      <c r="T41" s="74">
        <f t="shared" si="11"/>
        <v>53.66258432875466</v>
      </c>
      <c r="U41" s="74">
        <f t="shared" si="11"/>
        <v>19.342120356189554</v>
      </c>
      <c r="V41" s="74">
        <f t="shared" si="11"/>
        <v>30.57522231151631</v>
      </c>
      <c r="W41" s="76">
        <f t="shared" si="11"/>
        <v>19.704092455874974</v>
      </c>
      <c r="X41" s="77">
        <f>SUM(N41:W41)+H41</f>
        <v>1199.9113560382139</v>
      </c>
      <c r="Y41" s="429"/>
      <c r="Z41" s="445">
        <f>G36-X41</f>
        <v>-1199.9113560382139</v>
      </c>
      <c r="AA41" s="488">
        <f>SUM(Z39:Z41)</f>
        <v>-6038.826804404083</v>
      </c>
    </row>
    <row r="42" spans="1:26" s="33" customFormat="1" ht="13.5" thickBot="1">
      <c r="A42" s="50"/>
      <c r="B42" s="65"/>
      <c r="C42" s="65"/>
      <c r="D42" s="65"/>
      <c r="E42" s="449"/>
      <c r="F42" s="74"/>
      <c r="G42" s="75"/>
      <c r="H42" s="445"/>
      <c r="I42" s="74"/>
      <c r="J42" s="74"/>
      <c r="K42" s="74"/>
      <c r="L42" s="74"/>
      <c r="M42" s="585">
        <f t="shared" si="8"/>
        <v>0</v>
      </c>
      <c r="N42" s="74"/>
      <c r="O42" s="74"/>
      <c r="P42" s="74"/>
      <c r="Q42" s="74"/>
      <c r="R42" s="74"/>
      <c r="S42" s="74"/>
      <c r="T42" s="74"/>
      <c r="U42" s="74"/>
      <c r="V42" s="74"/>
      <c r="W42" s="76"/>
      <c r="X42" s="602"/>
      <c r="Y42" s="429"/>
      <c r="Z42" s="66"/>
    </row>
    <row r="43" spans="1:27" s="475" customFormat="1" ht="13.5" thickBot="1">
      <c r="A43" s="79"/>
      <c r="B43" s="471"/>
      <c r="C43" s="471"/>
      <c r="D43" s="471" t="s">
        <v>86</v>
      </c>
      <c r="E43" s="474"/>
      <c r="F43" s="472"/>
      <c r="G43" s="486"/>
      <c r="H43" s="481">
        <f>SUM(H36:H42)</f>
        <v>6150.448685832279</v>
      </c>
      <c r="I43" s="472">
        <f>SUM(I36:I42)</f>
        <v>469.489518417523</v>
      </c>
      <c r="J43" s="472">
        <f>SUM(J36:J42)</f>
        <v>1210.0239001938494</v>
      </c>
      <c r="K43" s="472">
        <f>SUM(K36:K42)</f>
        <v>4716.465894432678</v>
      </c>
      <c r="L43" s="472">
        <f>SUM(L36:L42)</f>
        <v>472.4754943863144</v>
      </c>
      <c r="M43" s="588">
        <f t="shared" si="8"/>
        <v>5188.941388818993</v>
      </c>
      <c r="N43" s="472">
        <f aca="true" t="shared" si="12" ref="N43:W43">SUM(N36:N42)</f>
        <v>6626.035903026499</v>
      </c>
      <c r="O43" s="472">
        <f t="shared" si="12"/>
        <v>2521.6911612911676</v>
      </c>
      <c r="P43" s="472">
        <f t="shared" si="12"/>
        <v>873.0816241071719</v>
      </c>
      <c r="Q43" s="472">
        <f t="shared" si="12"/>
        <v>100</v>
      </c>
      <c r="R43" s="472">
        <f t="shared" si="12"/>
        <v>2000.189046974822</v>
      </c>
      <c r="S43" s="472">
        <f t="shared" si="12"/>
        <v>873.0100373526984</v>
      </c>
      <c r="T43" s="472">
        <f t="shared" si="12"/>
        <v>883.3350058270938</v>
      </c>
      <c r="U43" s="472">
        <f t="shared" si="12"/>
        <v>494.7107253433544</v>
      </c>
      <c r="V43" s="472">
        <f t="shared" si="12"/>
        <v>650.0589160619331</v>
      </c>
      <c r="W43" s="473">
        <f t="shared" si="12"/>
        <v>290.03885572191007</v>
      </c>
      <c r="X43" s="82">
        <f>SUM(N43:W43)+H43</f>
        <v>21462.59996153893</v>
      </c>
      <c r="Z43" s="476"/>
      <c r="AA43" s="489"/>
    </row>
    <row r="44" spans="2:27" ht="12.75">
      <c r="B44" s="42"/>
      <c r="C44" s="42"/>
      <c r="D44" s="42"/>
      <c r="E44" s="51"/>
      <c r="F44" s="47"/>
      <c r="G44" s="52"/>
      <c r="H44" s="431"/>
      <c r="I44" s="431"/>
      <c r="J44" s="431"/>
      <c r="K44" s="431"/>
      <c r="L44" s="431"/>
      <c r="M44" s="585">
        <f t="shared" si="8"/>
        <v>0</v>
      </c>
      <c r="N44" s="431"/>
      <c r="O44" s="431"/>
      <c r="P44" s="431"/>
      <c r="Q44" s="431"/>
      <c r="R44" s="431"/>
      <c r="S44" s="431"/>
      <c r="T44" s="431"/>
      <c r="U44" s="431"/>
      <c r="V44" s="490"/>
      <c r="W44" s="491"/>
      <c r="X44" s="492"/>
      <c r="Y44" s="591"/>
      <c r="Z44" s="591"/>
      <c r="AA44" s="592"/>
    </row>
    <row r="45" spans="1:27" ht="12.75">
      <c r="A45" s="50" t="s">
        <v>87</v>
      </c>
      <c r="B45" s="42"/>
      <c r="C45" s="42"/>
      <c r="D45" s="42"/>
      <c r="E45" s="51"/>
      <c r="F45" s="47"/>
      <c r="G45" s="52"/>
      <c r="H45" s="420"/>
      <c r="I45" s="47"/>
      <c r="J45" s="47"/>
      <c r="K45" s="47"/>
      <c r="L45" s="47"/>
      <c r="M45" s="585">
        <f t="shared" si="8"/>
        <v>0</v>
      </c>
      <c r="N45" s="47"/>
      <c r="O45" s="47"/>
      <c r="P45" s="47"/>
      <c r="Q45" s="47"/>
      <c r="R45" s="47"/>
      <c r="S45" s="47"/>
      <c r="T45" s="47"/>
      <c r="U45" s="47"/>
      <c r="V45" s="47"/>
      <c r="W45" s="593"/>
      <c r="X45" s="77">
        <f>SUM(H45:W45)</f>
        <v>0</v>
      </c>
      <c r="Y45" s="594"/>
      <c r="Z45" s="594"/>
      <c r="AA45" s="41"/>
    </row>
    <row r="46" spans="2:27" ht="12.75">
      <c r="B46" s="42"/>
      <c r="C46" s="42"/>
      <c r="D46" s="42"/>
      <c r="E46" s="51"/>
      <c r="F46" s="47"/>
      <c r="G46" s="52"/>
      <c r="H46" s="420"/>
      <c r="I46" s="47"/>
      <c r="J46" s="47"/>
      <c r="K46" s="47"/>
      <c r="L46" s="47"/>
      <c r="M46" s="585">
        <f t="shared" si="8"/>
        <v>0</v>
      </c>
      <c r="N46" s="47"/>
      <c r="O46" s="47"/>
      <c r="P46" s="47"/>
      <c r="Q46" s="47"/>
      <c r="R46" s="47"/>
      <c r="S46" s="47"/>
      <c r="T46" s="47"/>
      <c r="U46" s="47"/>
      <c r="V46" s="47"/>
      <c r="W46" s="593"/>
      <c r="X46" s="77">
        <f>SUM(H46:W46)</f>
        <v>0</v>
      </c>
      <c r="Y46" s="594"/>
      <c r="Z46" s="594"/>
      <c r="AA46" s="41"/>
    </row>
    <row r="47" spans="1:27" s="3" customFormat="1" ht="12.75">
      <c r="A47" s="68"/>
      <c r="B47" s="23" t="s">
        <v>89</v>
      </c>
      <c r="C47" s="23"/>
      <c r="D47" s="23"/>
      <c r="E47" s="71"/>
      <c r="F47" s="69"/>
      <c r="G47" s="70"/>
      <c r="H47" s="428">
        <f>+'Table 1'!AD45</f>
        <v>0</v>
      </c>
      <c r="I47" s="69"/>
      <c r="J47" s="69"/>
      <c r="K47" s="69"/>
      <c r="L47" s="69"/>
      <c r="M47" s="585">
        <f t="shared" si="8"/>
        <v>0</v>
      </c>
      <c r="N47" s="69">
        <f>+'Table 1'!AJ45</f>
        <v>0</v>
      </c>
      <c r="O47" s="69">
        <f>+'Table 1'!AK45</f>
        <v>0</v>
      </c>
      <c r="P47" s="69">
        <f>+'Table 1'!AM45</f>
        <v>0</v>
      </c>
      <c r="Q47" s="69">
        <f>+'Table 1'!AN45</f>
        <v>0</v>
      </c>
      <c r="R47" s="69">
        <f>+'Table 1'!AR45</f>
        <v>0</v>
      </c>
      <c r="S47" s="69">
        <f>+'Table 1'!AS45</f>
        <v>0</v>
      </c>
      <c r="T47" s="69">
        <f>+'Table 1'!AT45</f>
        <v>0</v>
      </c>
      <c r="U47" s="69">
        <f>+'Table 1'!AU45</f>
        <v>0</v>
      </c>
      <c r="V47" s="69">
        <f>+'Table 1'!AV45</f>
        <v>0</v>
      </c>
      <c r="W47" s="595">
        <f>+'Table 1'!AW45</f>
        <v>0</v>
      </c>
      <c r="X47" s="596">
        <f>+'Table 1'!AX45</f>
        <v>1150</v>
      </c>
      <c r="Y47" s="597"/>
      <c r="Z47" s="597"/>
      <c r="AA47" s="68"/>
    </row>
    <row r="48" spans="2:27" ht="12.75" customHeight="1">
      <c r="B48" s="417" t="s">
        <v>389</v>
      </c>
      <c r="C48" s="42"/>
      <c r="D48" s="42"/>
      <c r="E48" s="51"/>
      <c r="F48" s="47"/>
      <c r="G48" s="52"/>
      <c r="H48" s="420"/>
      <c r="I48" s="47"/>
      <c r="J48" s="47"/>
      <c r="K48" s="47">
        <f>+N48</f>
        <v>3070</v>
      </c>
      <c r="L48" s="47">
        <f>+L6</f>
        <v>272</v>
      </c>
      <c r="M48" s="585">
        <f t="shared" si="8"/>
        <v>3342</v>
      </c>
      <c r="N48" s="47">
        <f>+'Table 1'!AJ46</f>
        <v>3070</v>
      </c>
      <c r="O48" s="47"/>
      <c r="P48" s="47"/>
      <c r="Q48" s="47"/>
      <c r="R48" s="47"/>
      <c r="S48" s="47"/>
      <c r="T48" s="47"/>
      <c r="U48" s="47"/>
      <c r="V48" s="47"/>
      <c r="W48" s="593"/>
      <c r="X48" s="77">
        <f>SUM(N48:W48)</f>
        <v>3070</v>
      </c>
      <c r="Y48" s="594"/>
      <c r="Z48" s="594"/>
      <c r="AA48" s="41"/>
    </row>
    <row r="49" spans="2:27" ht="12.75">
      <c r="B49" s="42" t="s">
        <v>88</v>
      </c>
      <c r="C49" s="42"/>
      <c r="D49" s="42"/>
      <c r="E49" s="51"/>
      <c r="F49" s="47"/>
      <c r="G49" s="52"/>
      <c r="H49" s="428">
        <f>+'Table 1'!AD47</f>
        <v>0</v>
      </c>
      <c r="I49" s="69"/>
      <c r="J49" s="69"/>
      <c r="K49" s="69"/>
      <c r="L49" s="69"/>
      <c r="M49" s="585">
        <f t="shared" si="8"/>
        <v>0</v>
      </c>
      <c r="N49" s="69">
        <f>+'Table 1'!AJ47</f>
        <v>0</v>
      </c>
      <c r="O49" s="69">
        <f>+'Table 1'!AK47</f>
        <v>0</v>
      </c>
      <c r="P49" s="69">
        <f>+'Table 1'!AM47</f>
        <v>0</v>
      </c>
      <c r="Q49" s="69">
        <f>+'Table 1'!AN47</f>
        <v>0</v>
      </c>
      <c r="R49" s="69">
        <f>+'Table 1'!AR47</f>
        <v>0</v>
      </c>
      <c r="S49" s="69">
        <f>+'Table 1'!AS47</f>
        <v>0</v>
      </c>
      <c r="T49" s="69">
        <f>+'Table 1'!AT47</f>
        <v>0</v>
      </c>
      <c r="U49" s="69">
        <f>+'Table 1'!AU47</f>
        <v>0</v>
      </c>
      <c r="V49" s="69">
        <f>+'Table 1'!AV47</f>
        <v>0</v>
      </c>
      <c r="W49" s="595">
        <f>+'Table 1'!AW47</f>
        <v>0</v>
      </c>
      <c r="X49" s="596">
        <f>+'Table 1'!AX47</f>
        <v>0</v>
      </c>
      <c r="Y49" s="594"/>
      <c r="Z49" s="594"/>
      <c r="AA49" s="41"/>
    </row>
    <row r="50" spans="2:27" ht="12.75">
      <c r="B50" s="417" t="s">
        <v>468</v>
      </c>
      <c r="C50" s="42"/>
      <c r="D50" s="42"/>
      <c r="E50" s="51"/>
      <c r="F50" s="47"/>
      <c r="G50" s="52"/>
      <c r="H50" s="428">
        <f>+'Table 1'!AD48</f>
        <v>0</v>
      </c>
      <c r="I50" s="69"/>
      <c r="J50" s="69"/>
      <c r="K50" s="69"/>
      <c r="L50" s="69"/>
      <c r="M50" s="585">
        <f t="shared" si="8"/>
        <v>0</v>
      </c>
      <c r="N50" s="69">
        <f>+'Table 1'!AJ48</f>
        <v>0</v>
      </c>
      <c r="O50" s="69">
        <f>+'Table 1'!AK48</f>
        <v>0</v>
      </c>
      <c r="P50" s="69">
        <f>+'Table 1'!AM48</f>
        <v>880</v>
      </c>
      <c r="Q50" s="69">
        <f>+'Table 1'!AN48</f>
        <v>0</v>
      </c>
      <c r="R50" s="69">
        <f>+'Table 1'!AR48</f>
        <v>0</v>
      </c>
      <c r="S50" s="69">
        <f>+'Table 1'!AS48</f>
        <v>0</v>
      </c>
      <c r="T50" s="69">
        <f>+'Table 1'!AT48</f>
        <v>0</v>
      </c>
      <c r="U50" s="69">
        <f>+'Table 1'!AU48</f>
        <v>0</v>
      </c>
      <c r="V50" s="69">
        <f>+'Table 1'!AV48</f>
        <v>0</v>
      </c>
      <c r="W50" s="595">
        <f>+'Table 1'!AW48</f>
        <v>0</v>
      </c>
      <c r="X50" s="596">
        <f>+'Table 1'!AX48</f>
        <v>880</v>
      </c>
      <c r="Y50" s="594"/>
      <c r="Z50" s="594"/>
      <c r="AA50" s="41"/>
    </row>
    <row r="51" spans="2:27" ht="12.75">
      <c r="B51" s="417" t="s">
        <v>469</v>
      </c>
      <c r="C51" s="42"/>
      <c r="D51" s="42"/>
      <c r="E51" s="51"/>
      <c r="F51" s="47"/>
      <c r="G51" s="52"/>
      <c r="H51" s="428">
        <f>+'Table 1'!AD49</f>
        <v>0</v>
      </c>
      <c r="I51" s="69"/>
      <c r="J51" s="69"/>
      <c r="K51" s="69"/>
      <c r="L51" s="69"/>
      <c r="M51" s="585">
        <f t="shared" si="8"/>
        <v>0</v>
      </c>
      <c r="N51" s="69">
        <f>+'Table 1'!AJ49</f>
        <v>0</v>
      </c>
      <c r="O51" s="69">
        <f>+'Table 1'!AK49</f>
        <v>0</v>
      </c>
      <c r="P51" s="69">
        <f>+'Table 1'!AM49</f>
        <v>0</v>
      </c>
      <c r="Q51" s="69">
        <f>+'Table 1'!AN49</f>
        <v>100</v>
      </c>
      <c r="R51" s="69">
        <f>+'Table 1'!AR49</f>
        <v>0</v>
      </c>
      <c r="S51" s="69">
        <f>+'Table 1'!AS49</f>
        <v>0</v>
      </c>
      <c r="T51" s="69">
        <f>+'Table 1'!AT49</f>
        <v>0</v>
      </c>
      <c r="U51" s="69">
        <f>+'Table 1'!AU49</f>
        <v>0</v>
      </c>
      <c r="V51" s="69">
        <f>+'Table 1'!AV49</f>
        <v>0</v>
      </c>
      <c r="W51" s="595">
        <f>+'Table 1'!AW49</f>
        <v>0</v>
      </c>
      <c r="X51" s="596">
        <f>+'Table 1'!AX49</f>
        <v>100</v>
      </c>
      <c r="Y51" s="594"/>
      <c r="Z51" s="594"/>
      <c r="AA51" s="41"/>
    </row>
    <row r="52" spans="1:27" s="33" customFormat="1" ht="12.75">
      <c r="A52" s="50" t="s">
        <v>68</v>
      </c>
      <c r="B52" s="65"/>
      <c r="C52" s="65"/>
      <c r="D52" s="65"/>
      <c r="E52" s="449"/>
      <c r="F52" s="74"/>
      <c r="G52" s="75"/>
      <c r="H52" s="445">
        <f>SUM(H47:H51)</f>
        <v>0</v>
      </c>
      <c r="I52" s="445">
        <f>SUM(I47:I51)</f>
        <v>0</v>
      </c>
      <c r="J52" s="445">
        <f>SUM(J47:J51)</f>
        <v>0</v>
      </c>
      <c r="K52" s="445">
        <f>SUM(K47:K51)</f>
        <v>3070</v>
      </c>
      <c r="L52" s="445">
        <f>SUM(L47:L51)</f>
        <v>272</v>
      </c>
      <c r="M52" s="587">
        <f t="shared" si="8"/>
        <v>3342</v>
      </c>
      <c r="N52" s="445">
        <f aca="true" t="shared" si="13" ref="N52:X52">SUM(N47:N51)</f>
        <v>3070</v>
      </c>
      <c r="O52" s="445">
        <f t="shared" si="13"/>
        <v>0</v>
      </c>
      <c r="P52" s="445">
        <f t="shared" si="13"/>
        <v>880</v>
      </c>
      <c r="Q52" s="445">
        <f t="shared" si="13"/>
        <v>100</v>
      </c>
      <c r="R52" s="445">
        <f t="shared" si="13"/>
        <v>0</v>
      </c>
      <c r="S52" s="445">
        <f t="shared" si="13"/>
        <v>0</v>
      </c>
      <c r="T52" s="445">
        <f t="shared" si="13"/>
        <v>0</v>
      </c>
      <c r="U52" s="445">
        <f t="shared" si="13"/>
        <v>0</v>
      </c>
      <c r="V52" s="445">
        <f t="shared" si="13"/>
        <v>0</v>
      </c>
      <c r="W52" s="598">
        <f t="shared" si="13"/>
        <v>0</v>
      </c>
      <c r="X52" s="77">
        <f t="shared" si="13"/>
        <v>5200</v>
      </c>
      <c r="Y52" s="599"/>
      <c r="Z52" s="600"/>
      <c r="AA52" s="50"/>
    </row>
    <row r="53" spans="2:27" ht="13.5" thickBot="1">
      <c r="B53" s="42"/>
      <c r="C53" s="42"/>
      <c r="D53" s="42"/>
      <c r="E53" s="51"/>
      <c r="F53" s="47"/>
      <c r="G53" s="52"/>
      <c r="H53" s="482"/>
      <c r="I53" s="463"/>
      <c r="J53" s="463"/>
      <c r="K53" s="463"/>
      <c r="L53" s="463"/>
      <c r="M53" s="585">
        <f t="shared" si="8"/>
        <v>0</v>
      </c>
      <c r="N53" s="463"/>
      <c r="O53" s="463"/>
      <c r="P53" s="463"/>
      <c r="Q53" s="463"/>
      <c r="R53" s="463"/>
      <c r="S53" s="463"/>
      <c r="T53" s="463"/>
      <c r="U53" s="463"/>
      <c r="V53" s="463"/>
      <c r="W53" s="601"/>
      <c r="X53" s="77"/>
      <c r="Y53" s="594"/>
      <c r="Z53" s="594"/>
      <c r="AA53" s="41"/>
    </row>
    <row r="54" spans="1:26" s="33" customFormat="1" ht="13.5" thickBot="1">
      <c r="A54" s="79"/>
      <c r="B54" s="25"/>
      <c r="C54" s="25"/>
      <c r="D54" s="25" t="s">
        <v>69</v>
      </c>
      <c r="E54" s="487">
        <f aca="true" t="shared" si="14" ref="E54:L54">E43-E52</f>
        <v>0</v>
      </c>
      <c r="F54" s="80">
        <f t="shared" si="14"/>
        <v>0</v>
      </c>
      <c r="G54" s="81">
        <f t="shared" si="14"/>
        <v>0</v>
      </c>
      <c r="H54" s="430">
        <f t="shared" si="14"/>
        <v>6150.448685832279</v>
      </c>
      <c r="I54" s="430">
        <f t="shared" si="14"/>
        <v>469.489518417523</v>
      </c>
      <c r="J54" s="430">
        <f t="shared" si="14"/>
        <v>1210.0239001938494</v>
      </c>
      <c r="K54" s="430">
        <f t="shared" si="14"/>
        <v>1646.4658944326784</v>
      </c>
      <c r="L54" s="430">
        <f t="shared" si="14"/>
        <v>200.47549438631438</v>
      </c>
      <c r="M54" s="589">
        <f t="shared" si="8"/>
        <v>1846.941388818993</v>
      </c>
      <c r="N54" s="80">
        <f aca="true" t="shared" si="15" ref="N54:X54">N43-N52</f>
        <v>3556.035903026499</v>
      </c>
      <c r="O54" s="80">
        <f t="shared" si="15"/>
        <v>2521.6911612911676</v>
      </c>
      <c r="P54" s="80">
        <f t="shared" si="15"/>
        <v>-6.918375892828067</v>
      </c>
      <c r="Q54" s="80">
        <f t="shared" si="15"/>
        <v>0</v>
      </c>
      <c r="R54" s="80">
        <f t="shared" si="15"/>
        <v>2000.189046974822</v>
      </c>
      <c r="S54" s="80">
        <f t="shared" si="15"/>
        <v>873.0100373526984</v>
      </c>
      <c r="T54" s="80">
        <f t="shared" si="15"/>
        <v>883.3350058270938</v>
      </c>
      <c r="U54" s="80">
        <f t="shared" si="15"/>
        <v>494.7107253433544</v>
      </c>
      <c r="V54" s="80">
        <f t="shared" si="15"/>
        <v>650.0589160619331</v>
      </c>
      <c r="W54" s="468">
        <f t="shared" si="15"/>
        <v>290.03885572191007</v>
      </c>
      <c r="X54" s="82">
        <f t="shared" si="15"/>
        <v>16262.59996153893</v>
      </c>
      <c r="Y54" s="35"/>
      <c r="Z54" s="40"/>
    </row>
    <row r="55" spans="1:24" ht="12.75">
      <c r="A55"/>
      <c r="X55"/>
    </row>
    <row r="56" spans="1:24" ht="12.75">
      <c r="A56"/>
      <c r="N56" s="452"/>
      <c r="X56"/>
    </row>
    <row r="57" spans="1:24" ht="12.75">
      <c r="A57"/>
      <c r="N57" s="452"/>
      <c r="X57"/>
    </row>
    <row r="58" spans="1:24" ht="12.75">
      <c r="A58"/>
      <c r="X58"/>
    </row>
    <row r="59" spans="1:24" ht="12.75">
      <c r="A59"/>
      <c r="X59"/>
    </row>
    <row r="60" spans="1:24" ht="12.75">
      <c r="A60"/>
      <c r="X60"/>
    </row>
    <row r="61" spans="1:24" ht="12.75">
      <c r="A61"/>
      <c r="X61"/>
    </row>
    <row r="62" spans="1:24" ht="12.75">
      <c r="A62"/>
      <c r="X62"/>
    </row>
    <row r="63" spans="1:24" ht="12.75">
      <c r="A63"/>
      <c r="X63"/>
    </row>
    <row r="64" spans="1:24" ht="12.75">
      <c r="A64"/>
      <c r="X64"/>
    </row>
    <row r="65" spans="1:24" ht="12.75">
      <c r="A65"/>
      <c r="X65"/>
    </row>
  </sheetData>
  <mergeCells count="2">
    <mergeCell ref="E1:G1"/>
    <mergeCell ref="K1:M1"/>
  </mergeCells>
  <printOptions horizontalCentered="1" verticalCentered="1"/>
  <pageMargins left="0.35433070866141736" right="0.35433070866141736" top="0.67" bottom="0.46" header="0.3" footer="0.26"/>
  <pageSetup fitToHeight="1" fitToWidth="1" horizontalDpi="600" verticalDpi="600" orientation="landscape" paperSize="9" scale="60" r:id="rId3"/>
  <headerFooter alignWithMargins="0">
    <oddHeader>&amp;C&amp;"Arial,Bold"&amp;14TABLE 2 : Expense and funding allocation by cost center
2001 Budget</oddHeader>
    <oddFooter>&amp;R&amp;F  &amp;A 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workbookViewId="0" topLeftCell="K1">
      <selection activeCell="R1" sqref="R1:R16384"/>
    </sheetView>
  </sheetViews>
  <sheetFormatPr defaultColWidth="9.140625" defaultRowHeight="12.75"/>
  <cols>
    <col min="5" max="7" width="9.140625" style="0" hidden="1" customWidth="1"/>
    <col min="8" max="8" width="9.28125" style="0" customWidth="1"/>
    <col min="9" max="9" width="9.57421875" style="0" customWidth="1"/>
    <col min="10" max="10" width="9.28125" style="0" bestFit="1" customWidth="1"/>
    <col min="11" max="13" width="9.57421875" style="0" bestFit="1" customWidth="1"/>
    <col min="14" max="15" width="9.57421875" style="0" customWidth="1"/>
    <col min="16" max="16" width="9.28125" style="0" customWidth="1"/>
    <col min="17" max="17" width="9.57421875" style="0" customWidth="1"/>
    <col min="18" max="18" width="9.28125" style="0" bestFit="1" customWidth="1"/>
    <col min="19" max="19" width="11.57421875" style="0" bestFit="1" customWidth="1"/>
    <col min="20" max="21" width="9.28125" style="0" bestFit="1" customWidth="1"/>
    <col min="22" max="22" width="11.57421875" style="0" bestFit="1" customWidth="1"/>
    <col min="23" max="23" width="7.421875" style="0" customWidth="1"/>
    <col min="27" max="27" width="10.8515625" style="0" bestFit="1" customWidth="1"/>
  </cols>
  <sheetData>
    <row r="1" spans="8:24" ht="13.5" thickBot="1">
      <c r="H1" t="s">
        <v>91</v>
      </c>
      <c r="X1" t="s">
        <v>90</v>
      </c>
    </row>
    <row r="2" spans="1:28" ht="152.25" thickBot="1">
      <c r="A2" s="86"/>
      <c r="B2" s="87"/>
      <c r="C2" s="87"/>
      <c r="D2" s="88"/>
      <c r="E2" s="87" t="s">
        <v>92</v>
      </c>
      <c r="F2" s="87" t="s">
        <v>93</v>
      </c>
      <c r="G2" s="87" t="s">
        <v>94</v>
      </c>
      <c r="H2" s="36" t="s">
        <v>72</v>
      </c>
      <c r="I2" s="37" t="s">
        <v>27</v>
      </c>
      <c r="J2" s="37" t="s">
        <v>26</v>
      </c>
      <c r="K2" s="37" t="s">
        <v>127</v>
      </c>
      <c r="L2" s="37" t="s">
        <v>30</v>
      </c>
      <c r="M2" s="37" t="s">
        <v>32</v>
      </c>
      <c r="N2" s="37" t="s">
        <v>33</v>
      </c>
      <c r="O2" s="37" t="s">
        <v>73</v>
      </c>
      <c r="P2" s="37" t="s">
        <v>35</v>
      </c>
      <c r="Q2" s="37" t="s">
        <v>36</v>
      </c>
      <c r="R2" s="38" t="s">
        <v>95</v>
      </c>
      <c r="S2" s="89" t="s">
        <v>96</v>
      </c>
      <c r="T2" s="90" t="s">
        <v>97</v>
      </c>
      <c r="U2" s="91" t="s">
        <v>87</v>
      </c>
      <c r="V2" s="92" t="s">
        <v>98</v>
      </c>
      <c r="W2" s="93" t="s">
        <v>99</v>
      </c>
      <c r="Y2" s="94" t="s">
        <v>100</v>
      </c>
      <c r="Z2" s="95" t="s">
        <v>101</v>
      </c>
      <c r="AA2" s="95" t="s">
        <v>102</v>
      </c>
      <c r="AB2" s="96" t="s">
        <v>103</v>
      </c>
    </row>
    <row r="3" spans="1:28" ht="12.75">
      <c r="A3" s="97"/>
      <c r="B3" s="59"/>
      <c r="C3" s="59" t="s">
        <v>104</v>
      </c>
      <c r="D3" s="60"/>
      <c r="E3" s="98"/>
      <c r="F3" s="99"/>
      <c r="G3" s="99"/>
      <c r="H3" s="100">
        <f>+'in draft Budget'!H43</f>
        <v>5554.432945899504</v>
      </c>
      <c r="I3" s="100">
        <f>+'in draft Budget'!N43</f>
        <v>851.3361532267467</v>
      </c>
      <c r="J3" s="99">
        <v>2590</v>
      </c>
      <c r="K3" s="99"/>
      <c r="L3" s="100">
        <v>823</v>
      </c>
      <c r="M3" s="100">
        <v>717</v>
      </c>
      <c r="N3" s="100">
        <v>321</v>
      </c>
      <c r="O3" s="100">
        <v>256</v>
      </c>
      <c r="P3" s="100">
        <v>239</v>
      </c>
      <c r="Q3" s="100">
        <v>168</v>
      </c>
      <c r="R3" s="102">
        <v>55</v>
      </c>
      <c r="S3" s="103">
        <f aca="true" t="shared" si="0" ref="S3:S18">SUM(H3:R3)</f>
        <v>11574.76909912625</v>
      </c>
      <c r="T3" s="101"/>
      <c r="U3" s="104"/>
      <c r="V3" s="105"/>
      <c r="W3" s="106"/>
      <c r="Y3" s="107"/>
      <c r="Z3" s="108"/>
      <c r="AA3" s="108"/>
      <c r="AB3" s="109"/>
    </row>
    <row r="4" spans="1:28" ht="12.75">
      <c r="A4" s="110"/>
      <c r="B4" s="42"/>
      <c r="C4" s="42"/>
      <c r="D4" s="43"/>
      <c r="E4" s="42"/>
      <c r="F4" s="42"/>
      <c r="G4" s="42"/>
      <c r="H4" s="111"/>
      <c r="I4" s="112"/>
      <c r="J4" s="112"/>
      <c r="K4" s="113"/>
      <c r="L4" s="42"/>
      <c r="M4" s="42"/>
      <c r="N4" s="42"/>
      <c r="O4" s="42"/>
      <c r="P4" s="42"/>
      <c r="Q4" s="113"/>
      <c r="R4" s="84"/>
      <c r="S4" s="114">
        <f t="shared" si="0"/>
        <v>0</v>
      </c>
      <c r="T4" s="115"/>
      <c r="U4" s="116"/>
      <c r="V4" s="117">
        <f>S4-U4</f>
        <v>0</v>
      </c>
      <c r="W4" s="118"/>
      <c r="Y4" s="116"/>
      <c r="Z4" s="54"/>
      <c r="AA4" s="54"/>
      <c r="AB4" s="119"/>
    </row>
    <row r="5" spans="1:28" ht="12.75">
      <c r="A5" s="120" t="s">
        <v>105</v>
      </c>
      <c r="B5" s="121"/>
      <c r="C5" s="121"/>
      <c r="D5" s="122"/>
      <c r="E5" s="123"/>
      <c r="F5" s="123"/>
      <c r="G5" s="123"/>
      <c r="H5" s="124"/>
      <c r="I5" s="124"/>
      <c r="J5" s="124"/>
      <c r="K5" s="124"/>
      <c r="L5" s="100">
        <v>823</v>
      </c>
      <c r="M5" s="100">
        <v>718</v>
      </c>
      <c r="N5" s="100">
        <v>322</v>
      </c>
      <c r="O5" s="100">
        <v>254</v>
      </c>
      <c r="P5" s="100">
        <v>239</v>
      </c>
      <c r="Q5" s="124">
        <v>169</v>
      </c>
      <c r="R5" s="125">
        <v>55</v>
      </c>
      <c r="S5" s="126">
        <f t="shared" si="0"/>
        <v>2580</v>
      </c>
      <c r="T5" s="127">
        <f>IF(S5=0,"",S5/$S$3)</f>
        <v>0.22289861490150656</v>
      </c>
      <c r="U5" s="128">
        <v>138</v>
      </c>
      <c r="V5" s="129">
        <f aca="true" t="shared" si="1" ref="V5:V54">S5-U5</f>
        <v>2442</v>
      </c>
      <c r="W5" s="130">
        <f aca="true" t="shared" si="2" ref="W5:W30">V5/$V$54</f>
        <v>1.3136094674556213</v>
      </c>
      <c r="Y5" s="104">
        <v>5348</v>
      </c>
      <c r="Z5" s="131">
        <f>S5/Y5</f>
        <v>0.4824233358264772</v>
      </c>
      <c r="AA5" s="99">
        <v>5117</v>
      </c>
      <c r="AB5" s="132">
        <f>V5/AA5</f>
        <v>0.4772327535665429</v>
      </c>
    </row>
    <row r="6" spans="1:28" ht="12.75">
      <c r="A6" s="110" t="s">
        <v>106</v>
      </c>
      <c r="B6" s="42"/>
      <c r="C6" s="42"/>
      <c r="D6" s="43"/>
      <c r="E6" s="42"/>
      <c r="F6" s="42"/>
      <c r="G6" s="42"/>
      <c r="H6" s="116"/>
      <c r="I6" s="54"/>
      <c r="J6" s="54"/>
      <c r="K6" s="54"/>
      <c r="L6" s="54"/>
      <c r="M6" s="54"/>
      <c r="N6" s="54"/>
      <c r="O6" s="54"/>
      <c r="P6" s="133"/>
      <c r="Q6" s="54"/>
      <c r="R6" s="134"/>
      <c r="S6" s="114">
        <f t="shared" si="0"/>
        <v>0</v>
      </c>
      <c r="T6" s="135">
        <f aca="true" t="shared" si="3" ref="T6:T52">IF(S6=0,"",S6/$S$3)</f>
      </c>
      <c r="U6" s="116"/>
      <c r="V6" s="117">
        <f t="shared" si="1"/>
        <v>0</v>
      </c>
      <c r="W6" s="136">
        <f t="shared" si="2"/>
        <v>0</v>
      </c>
      <c r="Y6" s="116"/>
      <c r="Z6" s="137"/>
      <c r="AA6" s="54"/>
      <c r="AB6" s="138"/>
    </row>
    <row r="7" spans="1:28" ht="12.75">
      <c r="A7" s="83"/>
      <c r="B7" s="42"/>
      <c r="C7" s="42"/>
      <c r="D7" s="43"/>
      <c r="E7" s="42"/>
      <c r="F7" s="42"/>
      <c r="G7" s="42"/>
      <c r="H7" s="116"/>
      <c r="I7" s="54"/>
      <c r="J7" s="54"/>
      <c r="K7" s="54"/>
      <c r="L7" s="54"/>
      <c r="M7" s="54"/>
      <c r="N7" s="54"/>
      <c r="O7" s="54"/>
      <c r="P7" s="54"/>
      <c r="Q7" s="54"/>
      <c r="R7" s="119"/>
      <c r="S7" s="139">
        <f t="shared" si="0"/>
        <v>0</v>
      </c>
      <c r="T7" s="140">
        <f t="shared" si="3"/>
      </c>
      <c r="U7" s="116"/>
      <c r="V7" s="141">
        <f t="shared" si="1"/>
        <v>0</v>
      </c>
      <c r="W7" s="136">
        <f t="shared" si="2"/>
        <v>0</v>
      </c>
      <c r="Y7" s="116"/>
      <c r="Z7" s="137"/>
      <c r="AA7" s="54"/>
      <c r="AB7" s="138"/>
    </row>
    <row r="8" spans="1:28" ht="15.75">
      <c r="A8" s="97" t="s">
        <v>107</v>
      </c>
      <c r="B8" s="59"/>
      <c r="C8" s="59" t="s">
        <v>26</v>
      </c>
      <c r="D8" s="60"/>
      <c r="E8" s="98"/>
      <c r="F8" s="99"/>
      <c r="G8" s="99">
        <v>1.3</v>
      </c>
      <c r="H8" s="99"/>
      <c r="I8" s="62">
        <v>84</v>
      </c>
      <c r="J8" s="142">
        <v>2590</v>
      </c>
      <c r="K8" s="142"/>
      <c r="L8" s="99"/>
      <c r="M8" s="99"/>
      <c r="N8" s="99"/>
      <c r="O8" s="99"/>
      <c r="P8" s="99"/>
      <c r="Q8" s="99"/>
      <c r="R8" s="143"/>
      <c r="S8" s="126">
        <f t="shared" si="0"/>
        <v>2674</v>
      </c>
      <c r="T8" s="127">
        <f t="shared" si="3"/>
        <v>0.2310197272273754</v>
      </c>
      <c r="U8" s="104">
        <v>2730</v>
      </c>
      <c r="V8" s="129">
        <f t="shared" si="1"/>
        <v>-56</v>
      </c>
      <c r="W8" s="130">
        <f t="shared" si="2"/>
        <v>-0.03012372243141474</v>
      </c>
      <c r="X8" s="144" t="s">
        <v>108</v>
      </c>
      <c r="Y8" s="104">
        <v>6554</v>
      </c>
      <c r="Z8" s="131">
        <f aca="true" t="shared" si="4" ref="Z8:Z54">S8/Y8</f>
        <v>0.40799511748550504</v>
      </c>
      <c r="AA8" s="99">
        <v>4884</v>
      </c>
      <c r="AB8" s="132">
        <f aca="true" t="shared" si="5" ref="AB8:AB54">V8/AA8</f>
        <v>-0.011466011466011465</v>
      </c>
    </row>
    <row r="9" spans="1:28" ht="12.75">
      <c r="A9" s="83"/>
      <c r="B9" s="42"/>
      <c r="C9" s="42"/>
      <c r="D9" s="43"/>
      <c r="E9" s="42"/>
      <c r="F9" s="42"/>
      <c r="G9" s="42"/>
      <c r="H9" s="42"/>
      <c r="I9" s="74"/>
      <c r="J9" s="42"/>
      <c r="K9" s="42"/>
      <c r="L9" s="42"/>
      <c r="M9" s="42"/>
      <c r="N9" s="42"/>
      <c r="O9" s="145"/>
      <c r="P9" s="42"/>
      <c r="Q9" s="54"/>
      <c r="R9" s="119"/>
      <c r="S9" s="146">
        <f t="shared" si="0"/>
        <v>0</v>
      </c>
      <c r="T9" s="147">
        <f t="shared" si="3"/>
      </c>
      <c r="U9" s="116"/>
      <c r="V9" s="117">
        <f t="shared" si="1"/>
        <v>0</v>
      </c>
      <c r="W9" s="136">
        <f t="shared" si="2"/>
        <v>0</v>
      </c>
      <c r="Y9" s="116"/>
      <c r="Z9" s="137"/>
      <c r="AA9" s="54"/>
      <c r="AB9" s="138"/>
    </row>
    <row r="10" spans="1:28" ht="12.75">
      <c r="A10" s="110" t="s">
        <v>109</v>
      </c>
      <c r="B10" s="42"/>
      <c r="C10" s="42"/>
      <c r="D10" s="43"/>
      <c r="E10" s="42"/>
      <c r="F10" s="42"/>
      <c r="G10" s="42"/>
      <c r="H10" s="54"/>
      <c r="I10" s="74"/>
      <c r="J10" s="54"/>
      <c r="K10" s="54"/>
      <c r="L10" s="54"/>
      <c r="M10" s="54"/>
      <c r="N10" s="56"/>
      <c r="O10" s="54"/>
      <c r="P10" s="42"/>
      <c r="Q10" s="54"/>
      <c r="R10" s="119"/>
      <c r="S10" s="114">
        <f t="shared" si="0"/>
        <v>0</v>
      </c>
      <c r="T10" s="147">
        <f t="shared" si="3"/>
      </c>
      <c r="U10" s="116"/>
      <c r="V10" s="117">
        <f t="shared" si="1"/>
        <v>0</v>
      </c>
      <c r="W10" s="136">
        <f t="shared" si="2"/>
        <v>0</v>
      </c>
      <c r="Y10" s="116"/>
      <c r="Z10" s="137"/>
      <c r="AA10" s="54"/>
      <c r="AB10" s="138"/>
    </row>
    <row r="11" spans="1:28" ht="12.75">
      <c r="A11" s="83"/>
      <c r="B11" s="42"/>
      <c r="C11" s="42"/>
      <c r="D11" s="43"/>
      <c r="E11" s="42"/>
      <c r="F11" s="42"/>
      <c r="G11" s="42"/>
      <c r="H11" s="54"/>
      <c r="I11" s="74"/>
      <c r="J11" s="54"/>
      <c r="K11" s="54"/>
      <c r="L11" s="54"/>
      <c r="M11" s="54"/>
      <c r="N11" s="56"/>
      <c r="O11" s="54"/>
      <c r="P11" s="42"/>
      <c r="Q11" s="54"/>
      <c r="R11" s="119"/>
      <c r="S11" s="114">
        <f t="shared" si="0"/>
        <v>0</v>
      </c>
      <c r="T11" s="147">
        <f t="shared" si="3"/>
      </c>
      <c r="U11" s="116"/>
      <c r="V11" s="117">
        <f t="shared" si="1"/>
        <v>0</v>
      </c>
      <c r="W11" s="136">
        <f t="shared" si="2"/>
        <v>0</v>
      </c>
      <c r="Y11" s="116"/>
      <c r="Z11" s="137"/>
      <c r="AA11" s="54"/>
      <c r="AB11" s="138"/>
    </row>
    <row r="12" spans="1:28" ht="12.75">
      <c r="A12" s="83" t="s">
        <v>9</v>
      </c>
      <c r="B12" s="42"/>
      <c r="C12" s="42"/>
      <c r="D12" s="43"/>
      <c r="E12" s="42">
        <v>103</v>
      </c>
      <c r="F12" s="42">
        <v>13</v>
      </c>
      <c r="G12" s="42">
        <v>16.1</v>
      </c>
      <c r="H12" s="47">
        <f>+'Table 1'!C2</f>
        <v>0</v>
      </c>
      <c r="I12" s="47">
        <f>+'Table 1'!C3</f>
        <v>0</v>
      </c>
      <c r="J12" s="47">
        <f>+'Table 1'!C4</f>
        <v>0</v>
      </c>
      <c r="K12" s="47">
        <f>+'Table 1'!C5</f>
        <v>0</v>
      </c>
      <c r="L12" s="54"/>
      <c r="M12" s="54"/>
      <c r="N12" s="56"/>
      <c r="O12" s="54"/>
      <c r="P12" s="42"/>
      <c r="Q12" s="54"/>
      <c r="R12" s="56"/>
      <c r="S12" s="149">
        <f t="shared" si="0"/>
        <v>0</v>
      </c>
      <c r="T12" s="147">
        <f t="shared" si="3"/>
      </c>
      <c r="U12" s="116">
        <v>42</v>
      </c>
      <c r="V12" s="150">
        <f t="shared" si="1"/>
        <v>-42</v>
      </c>
      <c r="W12" s="136">
        <f t="shared" si="2"/>
        <v>-0.022592791823561054</v>
      </c>
      <c r="Y12" s="116">
        <v>565</v>
      </c>
      <c r="Z12" s="137">
        <f t="shared" si="4"/>
        <v>0</v>
      </c>
      <c r="AA12" s="54">
        <v>535</v>
      </c>
      <c r="AB12" s="138">
        <f t="shared" si="5"/>
        <v>-0.07850467289719626</v>
      </c>
    </row>
    <row r="13" spans="1:28" ht="12.75">
      <c r="A13" s="83" t="s">
        <v>6</v>
      </c>
      <c r="B13" s="42"/>
      <c r="C13" s="42"/>
      <c r="D13" s="43"/>
      <c r="E13" s="42">
        <v>308</v>
      </c>
      <c r="F13" s="42">
        <v>18</v>
      </c>
      <c r="G13" s="42">
        <v>4.9</v>
      </c>
      <c r="H13" s="47">
        <f>+'Table 1'!$E2</f>
        <v>0</v>
      </c>
      <c r="I13" s="47">
        <f>+'Table 1'!$E3</f>
        <v>0</v>
      </c>
      <c r="J13" s="47">
        <f>+'Table 1'!$E4</f>
        <v>0</v>
      </c>
      <c r="K13" s="47">
        <f>+'Table 1'!$E5</f>
        <v>0</v>
      </c>
      <c r="L13" s="54"/>
      <c r="M13" s="54"/>
      <c r="N13" s="56"/>
      <c r="O13" s="47"/>
      <c r="P13" s="42"/>
      <c r="Q13" s="54"/>
      <c r="R13" s="56"/>
      <c r="S13" s="149">
        <f t="shared" si="0"/>
        <v>0</v>
      </c>
      <c r="T13" s="147">
        <f t="shared" si="3"/>
      </c>
      <c r="U13" s="116">
        <v>5</v>
      </c>
      <c r="V13" s="150">
        <f t="shared" si="1"/>
        <v>-5</v>
      </c>
      <c r="W13" s="136">
        <f t="shared" si="2"/>
        <v>-0.0026896180742334587</v>
      </c>
      <c r="Y13" s="116">
        <v>627</v>
      </c>
      <c r="Z13" s="137">
        <f t="shared" si="4"/>
        <v>0</v>
      </c>
      <c r="AA13" s="54">
        <v>553</v>
      </c>
      <c r="AB13" s="138">
        <f t="shared" si="5"/>
        <v>-0.009041591320072333</v>
      </c>
    </row>
    <row r="14" spans="1:28" ht="12.75">
      <c r="A14" s="83" t="s">
        <v>11</v>
      </c>
      <c r="B14" s="42"/>
      <c r="C14" s="42"/>
      <c r="D14" s="43"/>
      <c r="E14" s="57">
        <v>186</v>
      </c>
      <c r="F14" s="57">
        <v>6</v>
      </c>
      <c r="G14" s="57"/>
      <c r="H14" s="47">
        <f>+'Table 1'!$S2</f>
        <v>0</v>
      </c>
      <c r="I14" s="47">
        <f>+'Table 1'!$S3</f>
        <v>0</v>
      </c>
      <c r="J14" s="47">
        <f>+'Table 1'!$S4</f>
        <v>0</v>
      </c>
      <c r="K14" s="47">
        <f>+'Table 1'!$S5</f>
        <v>0</v>
      </c>
      <c r="L14" s="54"/>
      <c r="M14" s="54"/>
      <c r="N14" s="56"/>
      <c r="O14" s="47"/>
      <c r="P14" s="42"/>
      <c r="Q14" s="54"/>
      <c r="R14" s="56"/>
      <c r="S14" s="149">
        <f t="shared" si="0"/>
        <v>0</v>
      </c>
      <c r="T14" s="147">
        <f t="shared" si="3"/>
      </c>
      <c r="U14" s="116">
        <v>18</v>
      </c>
      <c r="V14" s="150">
        <f t="shared" si="1"/>
        <v>-18</v>
      </c>
      <c r="W14" s="136">
        <f t="shared" si="2"/>
        <v>-0.009682625067240451</v>
      </c>
      <c r="Y14" s="116">
        <v>308</v>
      </c>
      <c r="Z14" s="137">
        <f t="shared" si="4"/>
        <v>0</v>
      </c>
      <c r="AA14" s="54">
        <v>256</v>
      </c>
      <c r="AB14" s="138">
        <f t="shared" si="5"/>
        <v>-0.0703125</v>
      </c>
    </row>
    <row r="15" spans="1:28" ht="12.75">
      <c r="A15" s="83" t="s">
        <v>8</v>
      </c>
      <c r="B15" s="42"/>
      <c r="C15" s="42"/>
      <c r="D15" s="43"/>
      <c r="E15" s="57">
        <v>117</v>
      </c>
      <c r="F15" s="57">
        <v>14</v>
      </c>
      <c r="G15" s="57"/>
      <c r="H15" s="47">
        <f>+'Table 1'!$V2</f>
        <v>0</v>
      </c>
      <c r="I15" s="47">
        <f>+'Table 1'!$V3</f>
        <v>0</v>
      </c>
      <c r="J15" s="47">
        <f>+'Table 1'!$V4</f>
        <v>0</v>
      </c>
      <c r="K15" s="47">
        <f>+'Table 1'!$V5</f>
        <v>0</v>
      </c>
      <c r="L15" s="54"/>
      <c r="M15" s="54"/>
      <c r="N15" s="56"/>
      <c r="O15" s="47"/>
      <c r="P15" s="42"/>
      <c r="Q15" s="54"/>
      <c r="R15" s="56"/>
      <c r="S15" s="149">
        <f t="shared" si="0"/>
        <v>0</v>
      </c>
      <c r="T15" s="147">
        <f t="shared" si="3"/>
      </c>
      <c r="U15" s="116"/>
      <c r="V15" s="150">
        <f t="shared" si="1"/>
        <v>0</v>
      </c>
      <c r="W15" s="136">
        <f t="shared" si="2"/>
        <v>0</v>
      </c>
      <c r="Y15" s="116">
        <v>201</v>
      </c>
      <c r="Z15" s="137">
        <f t="shared" si="4"/>
        <v>0</v>
      </c>
      <c r="AA15" s="54">
        <v>86</v>
      </c>
      <c r="AB15" s="138">
        <f t="shared" si="5"/>
        <v>0</v>
      </c>
    </row>
    <row r="16" spans="1:28" ht="12.75">
      <c r="A16" s="83" t="s">
        <v>13</v>
      </c>
      <c r="B16" s="42"/>
      <c r="C16" s="42"/>
      <c r="D16" s="43"/>
      <c r="E16" s="42">
        <v>43</v>
      </c>
      <c r="F16" s="42">
        <v>5</v>
      </c>
      <c r="G16" s="42"/>
      <c r="H16" s="47">
        <f>+'Table 1'!$D2</f>
        <v>0</v>
      </c>
      <c r="I16" s="47">
        <f>+'Table 1'!$D3</f>
        <v>0</v>
      </c>
      <c r="J16" s="47">
        <f>+'Table 1'!$D4</f>
        <v>0</v>
      </c>
      <c r="K16" s="47">
        <f>+'Table 1'!$D5</f>
        <v>0</v>
      </c>
      <c r="L16" s="54"/>
      <c r="M16" s="54"/>
      <c r="N16" s="56"/>
      <c r="O16" s="47"/>
      <c r="P16" s="42"/>
      <c r="Q16" s="54"/>
      <c r="R16" s="56"/>
      <c r="S16" s="149">
        <f t="shared" si="0"/>
        <v>0</v>
      </c>
      <c r="T16" s="147">
        <f t="shared" si="3"/>
      </c>
      <c r="U16" s="116"/>
      <c r="V16" s="150">
        <f t="shared" si="1"/>
        <v>0</v>
      </c>
      <c r="W16" s="136">
        <f t="shared" si="2"/>
        <v>0</v>
      </c>
      <c r="Y16" s="116">
        <v>74</v>
      </c>
      <c r="Z16" s="137">
        <f t="shared" si="4"/>
        <v>0</v>
      </c>
      <c r="AA16" s="54">
        <v>36</v>
      </c>
      <c r="AB16" s="138">
        <f t="shared" si="5"/>
        <v>0</v>
      </c>
    </row>
    <row r="17" spans="1:28" ht="12.75">
      <c r="A17" s="83" t="s">
        <v>22</v>
      </c>
      <c r="B17" s="42"/>
      <c r="C17" s="42"/>
      <c r="D17" s="43"/>
      <c r="E17" s="57">
        <v>8</v>
      </c>
      <c r="F17" s="57">
        <v>1</v>
      </c>
      <c r="G17" s="57"/>
      <c r="H17" s="47">
        <f>+'Table 1'!$J2</f>
        <v>0</v>
      </c>
      <c r="I17" s="47">
        <f>+'Table 1'!$J3</f>
        <v>0</v>
      </c>
      <c r="J17" s="47">
        <f>+'Table 1'!$J4</f>
        <v>0</v>
      </c>
      <c r="K17" s="47">
        <f>+'Table 1'!$J5</f>
        <v>0</v>
      </c>
      <c r="L17" s="54"/>
      <c r="M17" s="54"/>
      <c r="N17" s="56"/>
      <c r="O17" s="47"/>
      <c r="P17" s="42"/>
      <c r="Q17" s="54"/>
      <c r="R17" s="56"/>
      <c r="S17" s="149">
        <f t="shared" si="0"/>
        <v>0</v>
      </c>
      <c r="T17" s="147">
        <f t="shared" si="3"/>
      </c>
      <c r="U17" s="116"/>
      <c r="V17" s="150">
        <f t="shared" si="1"/>
        <v>0</v>
      </c>
      <c r="W17" s="136">
        <f t="shared" si="2"/>
        <v>0</v>
      </c>
      <c r="Y17" s="116">
        <v>14</v>
      </c>
      <c r="Z17" s="137">
        <f t="shared" si="4"/>
        <v>0</v>
      </c>
      <c r="AA17" s="54">
        <v>14</v>
      </c>
      <c r="AB17" s="138">
        <f t="shared" si="5"/>
        <v>0</v>
      </c>
    </row>
    <row r="18" spans="1:28" ht="12.75">
      <c r="A18" s="83" t="s">
        <v>24</v>
      </c>
      <c r="B18" s="42"/>
      <c r="C18" s="42"/>
      <c r="D18" s="43"/>
      <c r="E18" s="57"/>
      <c r="F18" s="57"/>
      <c r="G18" s="57">
        <v>2.4</v>
      </c>
      <c r="H18" s="47">
        <f>+'Table 1'!$Z2</f>
        <v>0</v>
      </c>
      <c r="I18" s="47">
        <f>+'Table 1'!$Z3</f>
        <v>0</v>
      </c>
      <c r="J18" s="47">
        <f>+'Table 1'!$Z4</f>
        <v>0</v>
      </c>
      <c r="K18" s="47">
        <f>+'Table 1'!$Z5</f>
        <v>0</v>
      </c>
      <c r="L18" s="54"/>
      <c r="M18" s="54"/>
      <c r="N18" s="56"/>
      <c r="O18" s="151"/>
      <c r="P18" s="42"/>
      <c r="Q18" s="54"/>
      <c r="R18" s="56"/>
      <c r="S18" s="149">
        <f t="shared" si="0"/>
        <v>0</v>
      </c>
      <c r="T18" s="147">
        <f t="shared" si="3"/>
      </c>
      <c r="U18" s="116"/>
      <c r="V18" s="150">
        <f t="shared" si="1"/>
        <v>0</v>
      </c>
      <c r="W18" s="136">
        <f t="shared" si="2"/>
        <v>0</v>
      </c>
      <c r="Y18" s="116"/>
      <c r="Z18" s="137"/>
      <c r="AA18" s="54"/>
      <c r="AB18" s="138"/>
    </row>
    <row r="19" spans="1:28" ht="12.75">
      <c r="A19" s="152"/>
      <c r="B19" s="153"/>
      <c r="C19" s="59" t="s">
        <v>110</v>
      </c>
      <c r="D19" s="154"/>
      <c r="E19" s="155"/>
      <c r="F19" s="84"/>
      <c r="G19" s="84"/>
      <c r="H19" s="100">
        <f>SUM(H12:H18)</f>
        <v>0</v>
      </c>
      <c r="I19" s="100">
        <f aca="true" t="shared" si="6" ref="I19:Q19">SUM(I12:I18)</f>
        <v>0</v>
      </c>
      <c r="J19" s="100">
        <f t="shared" si="6"/>
        <v>0</v>
      </c>
      <c r="K19" s="100">
        <f t="shared" si="6"/>
        <v>0</v>
      </c>
      <c r="L19" s="100">
        <f t="shared" si="6"/>
        <v>0</v>
      </c>
      <c r="M19" s="100">
        <f t="shared" si="6"/>
        <v>0</v>
      </c>
      <c r="N19" s="100">
        <f t="shared" si="6"/>
        <v>0</v>
      </c>
      <c r="O19" s="100">
        <f t="shared" si="6"/>
        <v>0</v>
      </c>
      <c r="P19" s="100">
        <f t="shared" si="6"/>
        <v>0</v>
      </c>
      <c r="Q19" s="100">
        <f t="shared" si="6"/>
        <v>0</v>
      </c>
      <c r="R19" s="85"/>
      <c r="S19" s="156">
        <f>SUM(S12:S18)</f>
        <v>0</v>
      </c>
      <c r="T19" s="127">
        <f t="shared" si="3"/>
      </c>
      <c r="U19" s="157">
        <f>SUM(U12:U18)</f>
        <v>65</v>
      </c>
      <c r="V19" s="129">
        <f t="shared" si="1"/>
        <v>-65</v>
      </c>
      <c r="W19" s="130">
        <f t="shared" si="2"/>
        <v>-0.03496503496503497</v>
      </c>
      <c r="Y19" s="157">
        <f>SUM(Y12:Y18)</f>
        <v>1789</v>
      </c>
      <c r="Z19" s="131">
        <f t="shared" si="4"/>
        <v>0</v>
      </c>
      <c r="AA19" s="156">
        <f>SUM(AA12:AA18)</f>
        <v>1480</v>
      </c>
      <c r="AB19" s="132">
        <f t="shared" si="5"/>
        <v>-0.04391891891891892</v>
      </c>
    </row>
    <row r="20" spans="1:28" ht="12.75">
      <c r="A20" s="83"/>
      <c r="B20" s="42"/>
      <c r="C20" s="42"/>
      <c r="D20" s="43"/>
      <c r="E20" s="42"/>
      <c r="F20" s="42"/>
      <c r="G20" s="42"/>
      <c r="H20" s="51"/>
      <c r="I20" s="74">
        <f>$I$7*G20/100</f>
        <v>0</v>
      </c>
      <c r="J20" s="54"/>
      <c r="K20" s="54"/>
      <c r="L20" s="54"/>
      <c r="M20" s="54"/>
      <c r="N20" s="54"/>
      <c r="O20" s="47"/>
      <c r="P20" s="54"/>
      <c r="Q20" s="54"/>
      <c r="R20" s="56"/>
      <c r="S20" s="158">
        <f aca="true" t="shared" si="7" ref="S20:S27">SUM(H20:R20)</f>
        <v>0</v>
      </c>
      <c r="T20" s="147">
        <f t="shared" si="3"/>
      </c>
      <c r="U20" s="116"/>
      <c r="V20" s="117">
        <f t="shared" si="1"/>
        <v>0</v>
      </c>
      <c r="W20" s="136">
        <f t="shared" si="2"/>
        <v>0</v>
      </c>
      <c r="Y20" s="116"/>
      <c r="Z20" s="137"/>
      <c r="AA20" s="54"/>
      <c r="AB20" s="138"/>
    </row>
    <row r="21" spans="1:28" ht="12.75">
      <c r="A21" s="110" t="s">
        <v>111</v>
      </c>
      <c r="B21" s="42"/>
      <c r="C21" s="42"/>
      <c r="D21" s="43"/>
      <c r="E21" s="42"/>
      <c r="F21" s="42"/>
      <c r="G21" s="42"/>
      <c r="H21" s="51"/>
      <c r="I21" s="74">
        <f>$I$7*G21/100</f>
        <v>0</v>
      </c>
      <c r="J21" s="54"/>
      <c r="K21" s="54"/>
      <c r="L21" s="54"/>
      <c r="M21" s="54"/>
      <c r="N21" s="54"/>
      <c r="O21" s="47"/>
      <c r="P21" s="54"/>
      <c r="Q21" s="54"/>
      <c r="R21" s="56"/>
      <c r="S21" s="159">
        <f t="shared" si="7"/>
        <v>0</v>
      </c>
      <c r="T21" s="147">
        <f t="shared" si="3"/>
      </c>
      <c r="U21" s="116"/>
      <c r="V21" s="117">
        <f t="shared" si="1"/>
        <v>0</v>
      </c>
      <c r="W21" s="136">
        <f t="shared" si="2"/>
        <v>0</v>
      </c>
      <c r="Y21" s="116"/>
      <c r="Z21" s="137"/>
      <c r="AA21" s="54"/>
      <c r="AB21" s="138"/>
    </row>
    <row r="22" spans="1:28" ht="12.75">
      <c r="A22" s="160" t="s">
        <v>2</v>
      </c>
      <c r="B22" s="161"/>
      <c r="C22" s="161"/>
      <c r="D22" s="162"/>
      <c r="E22" s="57">
        <v>248</v>
      </c>
      <c r="F22" s="57">
        <v>25</v>
      </c>
      <c r="G22" s="57">
        <v>66.6</v>
      </c>
      <c r="H22" s="51">
        <f>+'Table 1'!$T2</f>
        <v>0</v>
      </c>
      <c r="I22" s="51">
        <f>+'Table 1'!$T3</f>
        <v>0</v>
      </c>
      <c r="J22" s="51">
        <f>+'Table 1'!$T4</f>
        <v>0</v>
      </c>
      <c r="K22" s="51">
        <f>+'Table 1'!$T5</f>
        <v>0</v>
      </c>
      <c r="L22" s="54"/>
      <c r="M22" s="54"/>
      <c r="N22" s="54"/>
      <c r="O22" s="47"/>
      <c r="P22" s="54"/>
      <c r="Q22" s="54"/>
      <c r="R22" s="56"/>
      <c r="S22" s="149">
        <f t="shared" si="7"/>
        <v>0</v>
      </c>
      <c r="T22" s="147">
        <f t="shared" si="3"/>
      </c>
      <c r="U22" s="116">
        <v>37</v>
      </c>
      <c r="V22" s="150">
        <f t="shared" si="1"/>
        <v>-37</v>
      </c>
      <c r="W22" s="136">
        <f t="shared" si="2"/>
        <v>-0.019903173749327596</v>
      </c>
      <c r="Y22" s="116">
        <v>2024</v>
      </c>
      <c r="Z22" s="137">
        <f t="shared" si="4"/>
        <v>0</v>
      </c>
      <c r="AA22" s="54">
        <v>1803</v>
      </c>
      <c r="AB22" s="138">
        <f t="shared" si="5"/>
        <v>-0.020521353300055462</v>
      </c>
    </row>
    <row r="23" spans="1:28" ht="12.75">
      <c r="A23" s="160" t="s">
        <v>7</v>
      </c>
      <c r="B23" s="161"/>
      <c r="C23" s="161"/>
      <c r="D23" s="162"/>
      <c r="E23" s="57">
        <v>476</v>
      </c>
      <c r="F23" s="57">
        <v>28</v>
      </c>
      <c r="G23" s="57"/>
      <c r="H23" s="51">
        <f>+'Table 1'!$X2</f>
        <v>0</v>
      </c>
      <c r="I23" s="51">
        <f>+'Table 1'!$X3</f>
        <v>0</v>
      </c>
      <c r="J23" s="51">
        <f>+'Table 1'!$X4</f>
        <v>0</v>
      </c>
      <c r="K23" s="51">
        <f>+'Table 1'!$X5</f>
        <v>0</v>
      </c>
      <c r="L23" s="54"/>
      <c r="M23" s="54"/>
      <c r="N23" s="54"/>
      <c r="O23" s="47"/>
      <c r="P23" s="54"/>
      <c r="Q23" s="54"/>
      <c r="R23" s="56"/>
      <c r="S23" s="149">
        <f t="shared" si="7"/>
        <v>0</v>
      </c>
      <c r="T23" s="147">
        <f t="shared" si="3"/>
      </c>
      <c r="U23" s="116"/>
      <c r="V23" s="150">
        <f t="shared" si="1"/>
        <v>0</v>
      </c>
      <c r="W23" s="136">
        <f t="shared" si="2"/>
        <v>0</v>
      </c>
      <c r="Y23" s="116">
        <v>786</v>
      </c>
      <c r="Z23" s="137">
        <f t="shared" si="4"/>
        <v>0</v>
      </c>
      <c r="AA23" s="54">
        <v>768</v>
      </c>
      <c r="AB23" s="138">
        <f t="shared" si="5"/>
        <v>0</v>
      </c>
    </row>
    <row r="24" spans="1:28" ht="12.75">
      <c r="A24" s="160" t="s">
        <v>14</v>
      </c>
      <c r="B24" s="161"/>
      <c r="C24" s="161"/>
      <c r="D24" s="162"/>
      <c r="E24" s="57">
        <v>67</v>
      </c>
      <c r="F24" s="57">
        <v>5</v>
      </c>
      <c r="G24" s="57"/>
      <c r="H24" s="51">
        <f>+'Table 1'!$Y2</f>
        <v>0</v>
      </c>
      <c r="I24" s="51">
        <f>+'Table 1'!$Y3</f>
        <v>0</v>
      </c>
      <c r="J24" s="51">
        <f>+'Table 1'!$Y4</f>
        <v>0</v>
      </c>
      <c r="K24" s="51">
        <f>+'Table 1'!$Y5</f>
        <v>0</v>
      </c>
      <c r="L24" s="54"/>
      <c r="M24" s="54"/>
      <c r="N24" s="54"/>
      <c r="O24" s="47"/>
      <c r="P24" s="54"/>
      <c r="Q24" s="54"/>
      <c r="R24" s="56"/>
      <c r="S24" s="149">
        <f t="shared" si="7"/>
        <v>0</v>
      </c>
      <c r="T24" s="147">
        <f t="shared" si="3"/>
      </c>
      <c r="U24" s="116"/>
      <c r="V24" s="150">
        <f t="shared" si="1"/>
        <v>0</v>
      </c>
      <c r="W24" s="136">
        <f t="shared" si="2"/>
        <v>0</v>
      </c>
      <c r="Y24" s="116">
        <v>112</v>
      </c>
      <c r="Z24" s="137">
        <f t="shared" si="4"/>
        <v>0</v>
      </c>
      <c r="AA24" s="54">
        <v>112</v>
      </c>
      <c r="AB24" s="138">
        <f t="shared" si="5"/>
        <v>0</v>
      </c>
    </row>
    <row r="25" spans="1:28" ht="12.75">
      <c r="A25" s="160" t="s">
        <v>15</v>
      </c>
      <c r="B25" s="161"/>
      <c r="C25" s="161"/>
      <c r="D25" s="162"/>
      <c r="E25" s="57"/>
      <c r="F25" s="57"/>
      <c r="G25" s="57"/>
      <c r="H25" s="51">
        <f>+'Table 1'!$M2</f>
        <v>0</v>
      </c>
      <c r="I25" s="51">
        <f>+'Table 1'!$M3</f>
        <v>0</v>
      </c>
      <c r="J25" s="51">
        <f>+'Table 1'!$M4</f>
        <v>0</v>
      </c>
      <c r="K25" s="51">
        <f>+'Table 1'!$M5</f>
        <v>0</v>
      </c>
      <c r="L25" s="54"/>
      <c r="M25" s="54"/>
      <c r="N25" s="54"/>
      <c r="O25" s="47"/>
      <c r="P25" s="54"/>
      <c r="Q25" s="54"/>
      <c r="R25" s="56"/>
      <c r="S25" s="149">
        <f t="shared" si="7"/>
        <v>0</v>
      </c>
      <c r="T25" s="147">
        <f t="shared" si="3"/>
      </c>
      <c r="U25" s="116"/>
      <c r="V25" s="150">
        <f>S25-U25</f>
        <v>0</v>
      </c>
      <c r="W25" s="136">
        <f t="shared" si="2"/>
        <v>0</v>
      </c>
      <c r="Y25" s="116"/>
      <c r="Z25" s="137"/>
      <c r="AA25" s="54"/>
      <c r="AB25" s="138"/>
    </row>
    <row r="26" spans="1:28" ht="12.75">
      <c r="A26" s="160" t="s">
        <v>112</v>
      </c>
      <c r="B26" s="161"/>
      <c r="C26" s="161"/>
      <c r="D26" s="162"/>
      <c r="E26" s="57">
        <v>22</v>
      </c>
      <c r="F26" s="57">
        <v>3</v>
      </c>
      <c r="G26" s="57">
        <v>2.2</v>
      </c>
      <c r="H26" s="51">
        <f>+'Table 1'!$F2</f>
        <v>0</v>
      </c>
      <c r="I26" s="51">
        <f>+'Table 1'!$F3</f>
        <v>0</v>
      </c>
      <c r="J26" s="51">
        <f>+'Table 1'!$F4</f>
        <v>0</v>
      </c>
      <c r="K26" s="51">
        <f>+'Table 1'!$F5</f>
        <v>0</v>
      </c>
      <c r="L26" s="54"/>
      <c r="M26" s="54"/>
      <c r="N26" s="54"/>
      <c r="O26" s="47"/>
      <c r="P26" s="54"/>
      <c r="Q26" s="54"/>
      <c r="R26" s="56"/>
      <c r="S26" s="149">
        <f t="shared" si="7"/>
        <v>0</v>
      </c>
      <c r="T26" s="147">
        <f t="shared" si="3"/>
      </c>
      <c r="U26" s="116"/>
      <c r="V26" s="150">
        <f t="shared" si="1"/>
        <v>0</v>
      </c>
      <c r="W26" s="136">
        <f t="shared" si="2"/>
        <v>0</v>
      </c>
      <c r="Y26" s="116">
        <v>91</v>
      </c>
      <c r="Z26" s="137">
        <f t="shared" si="4"/>
        <v>0</v>
      </c>
      <c r="AA26" s="54">
        <v>91</v>
      </c>
      <c r="AB26" s="138">
        <f t="shared" si="5"/>
        <v>0</v>
      </c>
    </row>
    <row r="27" spans="1:28" ht="12.75">
      <c r="A27" s="163" t="s">
        <v>19</v>
      </c>
      <c r="B27" s="161"/>
      <c r="C27" s="161"/>
      <c r="D27" s="162"/>
      <c r="E27" s="42">
        <v>10</v>
      </c>
      <c r="F27" s="42"/>
      <c r="G27" s="42"/>
      <c r="H27" s="51">
        <f>+'Table 1'!$B2</f>
        <v>0</v>
      </c>
      <c r="I27" s="51">
        <f>+'Table 1'!$B3</f>
        <v>0</v>
      </c>
      <c r="J27" s="51">
        <f>+'Table 1'!$B4</f>
        <v>0</v>
      </c>
      <c r="K27" s="51">
        <f>+'Table 1'!$B5</f>
        <v>0</v>
      </c>
      <c r="L27" s="54"/>
      <c r="M27" s="54"/>
      <c r="N27" s="54"/>
      <c r="O27" s="47"/>
      <c r="P27" s="54"/>
      <c r="Q27" s="54"/>
      <c r="R27" s="56"/>
      <c r="S27" s="149">
        <f t="shared" si="7"/>
        <v>0</v>
      </c>
      <c r="T27" s="147">
        <f t="shared" si="3"/>
      </c>
      <c r="U27" s="116"/>
      <c r="V27" s="150">
        <f t="shared" si="1"/>
        <v>0</v>
      </c>
      <c r="W27" s="136">
        <f t="shared" si="2"/>
        <v>0</v>
      </c>
      <c r="Y27" s="116">
        <v>16</v>
      </c>
      <c r="Z27" s="137">
        <f t="shared" si="4"/>
        <v>0</v>
      </c>
      <c r="AA27" s="54">
        <v>16</v>
      </c>
      <c r="AB27" s="138">
        <f t="shared" si="5"/>
        <v>0</v>
      </c>
    </row>
    <row r="28" spans="1:28" ht="12.75">
      <c r="A28" s="97"/>
      <c r="B28" s="59"/>
      <c r="C28" s="59" t="s">
        <v>113</v>
      </c>
      <c r="D28" s="60"/>
      <c r="E28" s="98"/>
      <c r="F28" s="99"/>
      <c r="G28" s="99"/>
      <c r="H28" s="100">
        <f>SUM(H20:H27)</f>
        <v>0</v>
      </c>
      <c r="I28" s="100">
        <f aca="true" t="shared" si="8" ref="I28:R28">SUM(I20:I27)</f>
        <v>0</v>
      </c>
      <c r="J28" s="100">
        <f t="shared" si="8"/>
        <v>0</v>
      </c>
      <c r="K28" s="100">
        <f t="shared" si="8"/>
        <v>0</v>
      </c>
      <c r="L28" s="100">
        <f t="shared" si="8"/>
        <v>0</v>
      </c>
      <c r="M28" s="100">
        <f t="shared" si="8"/>
        <v>0</v>
      </c>
      <c r="N28" s="100">
        <f t="shared" si="8"/>
        <v>0</v>
      </c>
      <c r="O28" s="100">
        <f t="shared" si="8"/>
        <v>0</v>
      </c>
      <c r="P28" s="100">
        <f t="shared" si="8"/>
        <v>0</v>
      </c>
      <c r="Q28" s="100">
        <f t="shared" si="8"/>
        <v>0</v>
      </c>
      <c r="R28" s="100">
        <f t="shared" si="8"/>
        <v>0</v>
      </c>
      <c r="S28" s="157">
        <f>SUM(S20:S27)</f>
        <v>0</v>
      </c>
      <c r="T28" s="127">
        <f t="shared" si="3"/>
      </c>
      <c r="U28" s="157">
        <f>SUM(U20:U27)</f>
        <v>37</v>
      </c>
      <c r="V28" s="129">
        <f t="shared" si="1"/>
        <v>-37</v>
      </c>
      <c r="W28" s="130">
        <f t="shared" si="2"/>
        <v>-0.019903173749327596</v>
      </c>
      <c r="Y28" s="157">
        <f>SUM(Y20:Y27)</f>
        <v>3029</v>
      </c>
      <c r="Z28" s="164">
        <f t="shared" si="4"/>
        <v>0</v>
      </c>
      <c r="AA28" s="157">
        <f>SUM(AA20:AA27)</f>
        <v>2790</v>
      </c>
      <c r="AB28" s="132">
        <f t="shared" si="5"/>
        <v>-0.013261648745519713</v>
      </c>
    </row>
    <row r="29" spans="1:28" ht="12.75">
      <c r="A29" s="83"/>
      <c r="B29" s="65"/>
      <c r="C29" s="65"/>
      <c r="D29" s="43"/>
      <c r="E29" s="42"/>
      <c r="F29" s="42"/>
      <c r="G29" s="42"/>
      <c r="H29" s="51"/>
      <c r="I29" s="74">
        <f>$I$7*G29/100</f>
        <v>0</v>
      </c>
      <c r="J29" s="54"/>
      <c r="K29" s="54"/>
      <c r="L29" s="54"/>
      <c r="M29" s="54"/>
      <c r="N29" s="54"/>
      <c r="O29" s="47"/>
      <c r="P29" s="54"/>
      <c r="Q29" s="54"/>
      <c r="R29" s="56"/>
      <c r="S29" s="159">
        <f>SUM(H29:R29)</f>
        <v>0</v>
      </c>
      <c r="T29" s="147">
        <f t="shared" si="3"/>
      </c>
      <c r="U29" s="116"/>
      <c r="V29" s="117">
        <f t="shared" si="1"/>
        <v>0</v>
      </c>
      <c r="W29" s="136">
        <f t="shared" si="2"/>
        <v>0</v>
      </c>
      <c r="Y29" s="116"/>
      <c r="Z29" s="137"/>
      <c r="AA29" s="54"/>
      <c r="AB29" s="138"/>
    </row>
    <row r="30" spans="1:28" ht="12.75">
      <c r="A30" s="110" t="s">
        <v>114</v>
      </c>
      <c r="B30" s="65"/>
      <c r="C30" s="65"/>
      <c r="D30" s="43"/>
      <c r="E30" s="42"/>
      <c r="F30" s="42"/>
      <c r="G30" s="42"/>
      <c r="H30" s="51"/>
      <c r="I30" s="74">
        <f>$I$7*G30/100</f>
        <v>0</v>
      </c>
      <c r="J30" s="54"/>
      <c r="K30" s="54"/>
      <c r="L30" s="54"/>
      <c r="M30" s="54"/>
      <c r="N30" s="54"/>
      <c r="O30" s="47"/>
      <c r="P30" s="54"/>
      <c r="Q30" s="54"/>
      <c r="R30" s="56"/>
      <c r="S30" s="159">
        <f>SUM(H30:R30)</f>
        <v>0</v>
      </c>
      <c r="T30" s="147">
        <f t="shared" si="3"/>
      </c>
      <c r="U30" s="116"/>
      <c r="V30" s="117">
        <f t="shared" si="1"/>
        <v>0</v>
      </c>
      <c r="W30" s="136">
        <f t="shared" si="2"/>
        <v>0</v>
      </c>
      <c r="Y30" s="116"/>
      <c r="Z30" s="137"/>
      <c r="AA30" s="54"/>
      <c r="AB30" s="138"/>
    </row>
    <row r="31" spans="1:28" ht="12.75">
      <c r="A31" s="421" t="s">
        <v>115</v>
      </c>
      <c r="B31" s="65"/>
      <c r="C31" s="65"/>
      <c r="D31" s="43"/>
      <c r="E31" s="42"/>
      <c r="F31" s="42"/>
      <c r="G31" s="42"/>
      <c r="H31" s="420">
        <f>+'Table 1'!$W2</f>
        <v>0</v>
      </c>
      <c r="I31" s="420">
        <f>+'Table 1'!$W3</f>
        <v>0</v>
      </c>
      <c r="J31" s="420">
        <f>+'Table 1'!$W4</f>
        <v>0</v>
      </c>
      <c r="K31" s="420">
        <f>+'Table 1'!$W5</f>
        <v>0</v>
      </c>
      <c r="L31" s="54"/>
      <c r="M31" s="54"/>
      <c r="N31" s="54"/>
      <c r="O31" s="47"/>
      <c r="P31" s="54"/>
      <c r="Q31" s="54"/>
      <c r="R31" s="56"/>
      <c r="S31" s="159"/>
      <c r="T31" s="147"/>
      <c r="U31" s="116"/>
      <c r="V31" s="117"/>
      <c r="W31" s="136"/>
      <c r="Y31" s="116"/>
      <c r="Z31" s="137"/>
      <c r="AA31" s="54"/>
      <c r="AB31" s="138"/>
    </row>
    <row r="32" spans="1:28" ht="12.75">
      <c r="A32" s="97"/>
      <c r="B32" s="59"/>
      <c r="C32" s="422" t="s">
        <v>394</v>
      </c>
      <c r="D32" s="60"/>
      <c r="E32" s="98">
        <v>412</v>
      </c>
      <c r="F32" s="99">
        <v>24</v>
      </c>
      <c r="G32" s="99">
        <v>0.5</v>
      </c>
      <c r="H32" s="62">
        <f aca="true" t="shared" si="9" ref="H32:Q32">SUM(E31)</f>
        <v>0</v>
      </c>
      <c r="I32" s="62">
        <f t="shared" si="9"/>
        <v>0</v>
      </c>
      <c r="J32" s="62">
        <f t="shared" si="9"/>
        <v>0</v>
      </c>
      <c r="K32" s="62">
        <f t="shared" si="9"/>
        <v>0</v>
      </c>
      <c r="L32" s="62">
        <f t="shared" si="9"/>
        <v>0</v>
      </c>
      <c r="M32" s="62">
        <f t="shared" si="9"/>
        <v>0</v>
      </c>
      <c r="N32" s="62">
        <f t="shared" si="9"/>
        <v>0</v>
      </c>
      <c r="O32" s="62">
        <f t="shared" si="9"/>
        <v>0</v>
      </c>
      <c r="P32" s="62">
        <f t="shared" si="9"/>
        <v>0</v>
      </c>
      <c r="Q32" s="62">
        <f t="shared" si="9"/>
        <v>0</v>
      </c>
      <c r="R32" s="62">
        <f>SUM(P31)</f>
        <v>0</v>
      </c>
      <c r="S32" s="157">
        <f aca="true" t="shared" si="10" ref="S32:S37">SUM(H32:R32)</f>
        <v>0</v>
      </c>
      <c r="T32" s="127">
        <f t="shared" si="3"/>
      </c>
      <c r="U32" s="104">
        <v>12</v>
      </c>
      <c r="V32" s="129">
        <f t="shared" si="1"/>
        <v>-12</v>
      </c>
      <c r="W32" s="130">
        <f aca="true" t="shared" si="11" ref="W32:W54">V32/$V$54</f>
        <v>-0.006455083378160301</v>
      </c>
      <c r="Y32" s="104">
        <v>717</v>
      </c>
      <c r="Z32" s="131">
        <f t="shared" si="4"/>
        <v>0</v>
      </c>
      <c r="AA32" s="99">
        <v>625</v>
      </c>
      <c r="AB32" s="132">
        <f t="shared" si="5"/>
        <v>-0.0192</v>
      </c>
    </row>
    <row r="33" spans="1:28" ht="12.75">
      <c r="A33" s="83"/>
      <c r="B33" s="65"/>
      <c r="C33" s="65"/>
      <c r="D33" s="43"/>
      <c r="E33" s="42"/>
      <c r="F33" s="42"/>
      <c r="G33" s="42"/>
      <c r="H33" s="51"/>
      <c r="I33" s="74">
        <f>$I$7*G33/100</f>
        <v>0</v>
      </c>
      <c r="J33" s="54"/>
      <c r="K33" s="54"/>
      <c r="L33" s="54"/>
      <c r="M33" s="54"/>
      <c r="N33" s="54"/>
      <c r="O33" s="47"/>
      <c r="P33" s="54"/>
      <c r="Q33" s="54"/>
      <c r="R33" s="56"/>
      <c r="S33" s="159">
        <f t="shared" si="10"/>
        <v>0</v>
      </c>
      <c r="T33" s="147">
        <f t="shared" si="3"/>
      </c>
      <c r="U33" s="116"/>
      <c r="V33" s="117">
        <f t="shared" si="1"/>
        <v>0</v>
      </c>
      <c r="W33" s="136">
        <f t="shared" si="11"/>
        <v>0</v>
      </c>
      <c r="Y33" s="116"/>
      <c r="Z33" s="137"/>
      <c r="AA33" s="54"/>
      <c r="AB33" s="138"/>
    </row>
    <row r="34" spans="1:28" ht="12.75">
      <c r="A34" s="83"/>
      <c r="B34" s="42"/>
      <c r="C34" s="42"/>
      <c r="D34" s="43"/>
      <c r="E34" s="42"/>
      <c r="F34" s="42"/>
      <c r="G34" s="42"/>
      <c r="H34" s="51"/>
      <c r="I34" s="74">
        <f>$I$7*G34/100</f>
        <v>0</v>
      </c>
      <c r="J34" s="54"/>
      <c r="K34" s="54"/>
      <c r="L34" s="54"/>
      <c r="M34" s="54"/>
      <c r="N34" s="54"/>
      <c r="O34" s="47"/>
      <c r="P34" s="54"/>
      <c r="Q34" s="54"/>
      <c r="R34" s="56"/>
      <c r="S34" s="159">
        <f t="shared" si="10"/>
        <v>0</v>
      </c>
      <c r="T34" s="147">
        <f t="shared" si="3"/>
      </c>
      <c r="U34" s="116"/>
      <c r="V34" s="117">
        <f t="shared" si="1"/>
        <v>0</v>
      </c>
      <c r="W34" s="136">
        <f t="shared" si="11"/>
        <v>0</v>
      </c>
      <c r="Y34" s="116"/>
      <c r="Z34" s="137"/>
      <c r="AA34" s="54"/>
      <c r="AB34" s="138"/>
    </row>
    <row r="35" spans="1:28" ht="12.75">
      <c r="A35" s="110" t="s">
        <v>116</v>
      </c>
      <c r="B35" s="42"/>
      <c r="C35" s="42"/>
      <c r="D35" s="43"/>
      <c r="E35" s="42"/>
      <c r="F35" s="42"/>
      <c r="G35" s="42"/>
      <c r="H35" s="67"/>
      <c r="I35" s="74">
        <f>$I$7*G35/100</f>
        <v>0</v>
      </c>
      <c r="J35" s="54"/>
      <c r="K35" s="42"/>
      <c r="L35" s="42"/>
      <c r="M35" s="54"/>
      <c r="N35" s="54"/>
      <c r="O35" s="47"/>
      <c r="P35" s="54"/>
      <c r="Q35" s="54"/>
      <c r="R35" s="56"/>
      <c r="S35" s="159">
        <f t="shared" si="10"/>
        <v>0</v>
      </c>
      <c r="T35" s="147">
        <f t="shared" si="3"/>
      </c>
      <c r="U35" s="116"/>
      <c r="V35" s="117">
        <f t="shared" si="1"/>
        <v>0</v>
      </c>
      <c r="W35" s="136">
        <f t="shared" si="11"/>
        <v>0</v>
      </c>
      <c r="Y35" s="116"/>
      <c r="Z35" s="137"/>
      <c r="AA35" s="54"/>
      <c r="AB35" s="138"/>
    </row>
    <row r="36" spans="1:28" ht="12.75">
      <c r="A36" s="163" t="s">
        <v>3</v>
      </c>
      <c r="B36" s="161"/>
      <c r="C36" s="161"/>
      <c r="D36" s="162"/>
      <c r="E36" s="161">
        <v>371</v>
      </c>
      <c r="F36" s="161">
        <v>24</v>
      </c>
      <c r="G36" s="161"/>
      <c r="H36" s="51">
        <f>+'Table 1'!$H2</f>
        <v>0</v>
      </c>
      <c r="I36" s="51">
        <f>+'Table 1'!$H3</f>
        <v>0</v>
      </c>
      <c r="J36" s="51">
        <f>+'Table 1'!$H4</f>
        <v>0</v>
      </c>
      <c r="K36" s="51">
        <f>+'Table 1'!$H5</f>
        <v>0</v>
      </c>
      <c r="L36" s="165"/>
      <c r="M36" s="165"/>
      <c r="N36" s="165"/>
      <c r="O36" s="148"/>
      <c r="P36" s="165"/>
      <c r="Q36" s="165"/>
      <c r="R36" s="166"/>
      <c r="S36" s="149">
        <f t="shared" si="10"/>
        <v>0</v>
      </c>
      <c r="T36" s="147">
        <f t="shared" si="3"/>
      </c>
      <c r="U36" s="167">
        <v>47</v>
      </c>
      <c r="V36" s="150">
        <f t="shared" si="1"/>
        <v>-47</v>
      </c>
      <c r="W36" s="136">
        <f t="shared" si="11"/>
        <v>-0.025282409897794515</v>
      </c>
      <c r="Y36" s="116">
        <v>617</v>
      </c>
      <c r="Z36" s="137">
        <f t="shared" si="4"/>
        <v>0</v>
      </c>
      <c r="AA36" s="54">
        <v>542</v>
      </c>
      <c r="AB36" s="138">
        <f t="shared" si="5"/>
        <v>-0.08671586715867159</v>
      </c>
    </row>
    <row r="37" spans="1:28" ht="12.75">
      <c r="A37" s="163" t="s">
        <v>117</v>
      </c>
      <c r="B37" s="161"/>
      <c r="C37" s="161"/>
      <c r="D37" s="162"/>
      <c r="E37" s="161">
        <v>217</v>
      </c>
      <c r="F37" s="161">
        <v>15</v>
      </c>
      <c r="G37" s="161"/>
      <c r="H37" s="51">
        <f>+'Table 1'!$N2</f>
        <v>0</v>
      </c>
      <c r="I37" s="51">
        <f>+'Table 1'!$N3</f>
        <v>0</v>
      </c>
      <c r="J37" s="51">
        <f>+'Table 1'!$N4</f>
        <v>0</v>
      </c>
      <c r="K37" s="51">
        <f>+'Table 1'!$N5</f>
        <v>0</v>
      </c>
      <c r="L37" s="165"/>
      <c r="M37" s="165"/>
      <c r="N37" s="165"/>
      <c r="O37" s="148"/>
      <c r="P37" s="165"/>
      <c r="Q37" s="165"/>
      <c r="R37" s="166"/>
      <c r="S37" s="149">
        <f t="shared" si="10"/>
        <v>0</v>
      </c>
      <c r="T37" s="147">
        <f t="shared" si="3"/>
      </c>
      <c r="U37" s="167">
        <v>176</v>
      </c>
      <c r="V37" s="150">
        <f t="shared" si="1"/>
        <v>-176</v>
      </c>
      <c r="W37" s="136">
        <f t="shared" si="11"/>
        <v>-0.09467455621301775</v>
      </c>
      <c r="Y37" s="116">
        <v>357</v>
      </c>
      <c r="Z37" s="137">
        <f t="shared" si="4"/>
        <v>0</v>
      </c>
      <c r="AA37" s="54">
        <v>207</v>
      </c>
      <c r="AB37" s="138">
        <f t="shared" si="5"/>
        <v>-0.8502415458937198</v>
      </c>
    </row>
    <row r="38" spans="1:28" ht="12.75">
      <c r="A38" s="97"/>
      <c r="B38" s="59"/>
      <c r="C38" s="59" t="s">
        <v>118</v>
      </c>
      <c r="D38" s="60"/>
      <c r="E38" s="98"/>
      <c r="F38" s="99"/>
      <c r="G38" s="99"/>
      <c r="H38" s="100">
        <f aca="true" t="shared" si="12" ref="H38:Q38">SUM(H36:H37)</f>
        <v>0</v>
      </c>
      <c r="I38" s="100">
        <f>SUM(I36:I37)</f>
        <v>0</v>
      </c>
      <c r="J38" s="100">
        <f t="shared" si="12"/>
        <v>0</v>
      </c>
      <c r="K38" s="100">
        <f t="shared" si="12"/>
        <v>0</v>
      </c>
      <c r="L38" s="100">
        <f t="shared" si="12"/>
        <v>0</v>
      </c>
      <c r="M38" s="100">
        <f t="shared" si="12"/>
        <v>0</v>
      </c>
      <c r="N38" s="100">
        <f t="shared" si="12"/>
        <v>0</v>
      </c>
      <c r="O38" s="100">
        <f t="shared" si="12"/>
        <v>0</v>
      </c>
      <c r="P38" s="100">
        <f>SUM(P36:P37)</f>
        <v>0</v>
      </c>
      <c r="Q38" s="100">
        <f t="shared" si="12"/>
        <v>0</v>
      </c>
      <c r="R38" s="101"/>
      <c r="S38" s="157">
        <f>SUM(S36:S37)</f>
        <v>0</v>
      </c>
      <c r="T38" s="127">
        <f t="shared" si="3"/>
      </c>
      <c r="U38" s="157">
        <f>SUM(U36:U37)</f>
        <v>223</v>
      </c>
      <c r="V38" s="129">
        <f t="shared" si="1"/>
        <v>-223</v>
      </c>
      <c r="W38" s="130">
        <f t="shared" si="11"/>
        <v>-0.11995696611081226</v>
      </c>
      <c r="Y38" s="157">
        <f>SUM(Y36:Y37)</f>
        <v>974</v>
      </c>
      <c r="Z38" s="164">
        <f t="shared" si="4"/>
        <v>0</v>
      </c>
      <c r="AA38" s="157">
        <f>SUM(AA36:AA37)</f>
        <v>749</v>
      </c>
      <c r="AB38" s="132">
        <f t="shared" si="5"/>
        <v>-0.2977303070761015</v>
      </c>
    </row>
    <row r="39" spans="1:28" ht="12.75">
      <c r="A39" s="83"/>
      <c r="B39" s="42"/>
      <c r="C39" s="65"/>
      <c r="D39" s="43"/>
      <c r="E39" s="42"/>
      <c r="F39" s="42"/>
      <c r="G39" s="42"/>
      <c r="H39" s="51"/>
      <c r="I39" s="74">
        <f>$I$7*G39/100</f>
        <v>0</v>
      </c>
      <c r="J39" s="54"/>
      <c r="K39" s="54"/>
      <c r="L39" s="54"/>
      <c r="M39" s="54"/>
      <c r="N39" s="54"/>
      <c r="O39" s="47"/>
      <c r="P39" s="54"/>
      <c r="Q39" s="54"/>
      <c r="R39" s="56"/>
      <c r="S39" s="159"/>
      <c r="T39" s="147">
        <f t="shared" si="3"/>
      </c>
      <c r="U39" s="116"/>
      <c r="V39" s="117">
        <f t="shared" si="1"/>
        <v>0</v>
      </c>
      <c r="W39" s="136">
        <f t="shared" si="11"/>
        <v>0</v>
      </c>
      <c r="Y39" s="116"/>
      <c r="Z39" s="137"/>
      <c r="AA39" s="54"/>
      <c r="AB39" s="138"/>
    </row>
    <row r="40" spans="1:28" ht="12.75">
      <c r="A40" s="110" t="s">
        <v>119</v>
      </c>
      <c r="B40" s="65"/>
      <c r="C40" s="65"/>
      <c r="D40" s="168"/>
      <c r="E40" s="65"/>
      <c r="F40" s="65"/>
      <c r="G40" s="65"/>
      <c r="H40" s="51"/>
      <c r="I40" s="74">
        <f>$I$7*G40/100</f>
        <v>0</v>
      </c>
      <c r="J40" s="169"/>
      <c r="K40" s="169"/>
      <c r="L40" s="169"/>
      <c r="M40" s="169"/>
      <c r="N40" s="169"/>
      <c r="O40" s="74"/>
      <c r="P40" s="169"/>
      <c r="Q40" s="169"/>
      <c r="R40" s="170"/>
      <c r="S40" s="159">
        <f>SUM(H40:R40)</f>
        <v>0</v>
      </c>
      <c r="T40" s="147">
        <f t="shared" si="3"/>
      </c>
      <c r="U40" s="171"/>
      <c r="V40" s="117">
        <f t="shared" si="1"/>
        <v>0</v>
      </c>
      <c r="W40" s="136">
        <f t="shared" si="11"/>
        <v>0</v>
      </c>
      <c r="Y40" s="116"/>
      <c r="Z40" s="137"/>
      <c r="AA40" s="54"/>
      <c r="AB40" s="138"/>
    </row>
    <row r="41" spans="1:28" ht="12.75">
      <c r="A41" s="83" t="s">
        <v>10</v>
      </c>
      <c r="B41" s="42"/>
      <c r="C41" s="42"/>
      <c r="D41" s="43"/>
      <c r="E41" s="42">
        <v>155</v>
      </c>
      <c r="F41" s="42">
        <v>10</v>
      </c>
      <c r="G41" s="42"/>
      <c r="H41" s="51">
        <f>+'Table 1'!$R2</f>
        <v>0</v>
      </c>
      <c r="I41" s="51">
        <f>+'Table 1'!$R3</f>
        <v>0</v>
      </c>
      <c r="J41" s="51">
        <f>+'Table 1'!$R4</f>
        <v>0</v>
      </c>
      <c r="K41" s="51">
        <f>+'Table 1'!$R5</f>
        <v>0</v>
      </c>
      <c r="L41" s="54"/>
      <c r="M41" s="54"/>
      <c r="N41" s="54"/>
      <c r="O41" s="47"/>
      <c r="P41" s="54"/>
      <c r="Q41" s="54"/>
      <c r="R41" s="56"/>
      <c r="S41" s="149">
        <f>SUM(H41:R41)</f>
        <v>0</v>
      </c>
      <c r="T41" s="147">
        <f t="shared" si="3"/>
      </c>
      <c r="U41" s="116">
        <v>186</v>
      </c>
      <c r="V41" s="150">
        <f t="shared" si="1"/>
        <v>-186</v>
      </c>
      <c r="W41" s="136">
        <f t="shared" si="11"/>
        <v>-0.10005379236148466</v>
      </c>
      <c r="Y41" s="116">
        <v>256</v>
      </c>
      <c r="Z41" s="137">
        <f t="shared" si="4"/>
        <v>0</v>
      </c>
      <c r="AA41" s="54">
        <v>256</v>
      </c>
      <c r="AB41" s="138">
        <f t="shared" si="5"/>
        <v>-0.7265625</v>
      </c>
    </row>
    <row r="42" spans="1:28" ht="12.75">
      <c r="A42" s="83" t="s">
        <v>18</v>
      </c>
      <c r="B42" s="42"/>
      <c r="C42" s="42"/>
      <c r="D42" s="43"/>
      <c r="E42" s="57">
        <v>33</v>
      </c>
      <c r="F42" s="57">
        <v>4</v>
      </c>
      <c r="G42" s="57"/>
      <c r="H42" s="51">
        <f>+'Table 1'!$U2</f>
        <v>0</v>
      </c>
      <c r="I42" s="51">
        <f>+'Table 1'!$U3</f>
        <v>0</v>
      </c>
      <c r="J42" s="51">
        <f>+'Table 1'!$U4</f>
        <v>0</v>
      </c>
      <c r="K42" s="51">
        <f>+'Table 1'!$U5</f>
        <v>0</v>
      </c>
      <c r="L42" s="54"/>
      <c r="M42" s="54"/>
      <c r="N42" s="54"/>
      <c r="O42" s="47"/>
      <c r="P42" s="54"/>
      <c r="Q42" s="54"/>
      <c r="R42" s="56"/>
      <c r="S42" s="149">
        <f>SUM(H42:R42)</f>
        <v>0</v>
      </c>
      <c r="T42" s="147">
        <f t="shared" si="3"/>
      </c>
      <c r="U42" s="116"/>
      <c r="V42" s="150">
        <f t="shared" si="1"/>
        <v>0</v>
      </c>
      <c r="W42" s="136">
        <f t="shared" si="11"/>
        <v>0</v>
      </c>
      <c r="Y42" s="116">
        <v>57</v>
      </c>
      <c r="Z42" s="137">
        <f t="shared" si="4"/>
        <v>0</v>
      </c>
      <c r="AA42" s="54">
        <v>57</v>
      </c>
      <c r="AB42" s="138">
        <f t="shared" si="5"/>
        <v>0</v>
      </c>
    </row>
    <row r="43" spans="1:28" ht="12.75">
      <c r="A43" s="83" t="s">
        <v>20</v>
      </c>
      <c r="B43" s="42"/>
      <c r="C43" s="42"/>
      <c r="D43" s="43"/>
      <c r="E43" s="42">
        <v>19</v>
      </c>
      <c r="F43" s="42">
        <v>2</v>
      </c>
      <c r="G43" s="42"/>
      <c r="H43" s="51">
        <f>+'Table 1'!$O2</f>
        <v>0</v>
      </c>
      <c r="I43" s="51">
        <f>+'Table 1'!$O3</f>
        <v>0</v>
      </c>
      <c r="J43" s="51">
        <f>+'Table 1'!$O4</f>
        <v>0</v>
      </c>
      <c r="K43" s="51">
        <f>+'Table 1'!$O5</f>
        <v>0</v>
      </c>
      <c r="L43" s="54"/>
      <c r="M43" s="54"/>
      <c r="N43" s="54"/>
      <c r="O43" s="47"/>
      <c r="P43" s="54"/>
      <c r="Q43" s="54"/>
      <c r="R43" s="56"/>
      <c r="S43" s="149">
        <f>SUM(H43:R43)</f>
        <v>0</v>
      </c>
      <c r="T43" s="147">
        <f t="shared" si="3"/>
      </c>
      <c r="U43" s="116"/>
      <c r="V43" s="150">
        <f t="shared" si="1"/>
        <v>0</v>
      </c>
      <c r="W43" s="136">
        <f t="shared" si="11"/>
        <v>0</v>
      </c>
      <c r="Y43" s="116">
        <v>32</v>
      </c>
      <c r="Z43" s="137">
        <f t="shared" si="4"/>
        <v>0</v>
      </c>
      <c r="AA43" s="54">
        <v>32</v>
      </c>
      <c r="AB43" s="138">
        <f t="shared" si="5"/>
        <v>0</v>
      </c>
    </row>
    <row r="44" spans="1:28" ht="12.75">
      <c r="A44" s="83" t="s">
        <v>120</v>
      </c>
      <c r="B44" s="42"/>
      <c r="C44" s="42"/>
      <c r="D44" s="43"/>
      <c r="E44" s="42">
        <v>416</v>
      </c>
      <c r="F44" s="42">
        <v>18</v>
      </c>
      <c r="G44" s="42"/>
      <c r="H44" s="51">
        <f>+'Table 1'!$P2</f>
        <v>0</v>
      </c>
      <c r="I44" s="51">
        <f>+'Table 1'!$P3</f>
        <v>0</v>
      </c>
      <c r="J44" s="51">
        <f>+'Table 1'!$P4</f>
        <v>0</v>
      </c>
      <c r="K44" s="51">
        <f>+'Table 1'!$P5</f>
        <v>0</v>
      </c>
      <c r="L44" s="54"/>
      <c r="M44" s="54"/>
      <c r="N44" s="54"/>
      <c r="O44" s="47"/>
      <c r="P44" s="54"/>
      <c r="Q44" s="54"/>
      <c r="R44" s="56"/>
      <c r="S44" s="149">
        <f>SUM(H44:R44)</f>
        <v>0</v>
      </c>
      <c r="T44" s="147">
        <f t="shared" si="3"/>
      </c>
      <c r="U44" s="116"/>
      <c r="V44" s="150">
        <f t="shared" si="1"/>
        <v>0</v>
      </c>
      <c r="W44" s="136">
        <f t="shared" si="11"/>
        <v>0</v>
      </c>
      <c r="Y44" s="116">
        <v>675</v>
      </c>
      <c r="Z44" s="137">
        <f t="shared" si="4"/>
        <v>0</v>
      </c>
      <c r="AA44" s="54">
        <v>623</v>
      </c>
      <c r="AB44" s="138">
        <f t="shared" si="5"/>
        <v>0</v>
      </c>
    </row>
    <row r="45" spans="1:28" ht="12.75">
      <c r="A45" s="97"/>
      <c r="B45" s="59"/>
      <c r="C45" s="59" t="s">
        <v>110</v>
      </c>
      <c r="D45" s="60"/>
      <c r="E45" s="98"/>
      <c r="F45" s="99"/>
      <c r="G45" s="99"/>
      <c r="H45" s="100">
        <f aca="true" t="shared" si="13" ref="H45:Q45">SUM(H41:H44)</f>
        <v>0</v>
      </c>
      <c r="I45" s="100">
        <f>SUM(I41:I44)</f>
        <v>0</v>
      </c>
      <c r="J45" s="100">
        <f t="shared" si="13"/>
        <v>0</v>
      </c>
      <c r="K45" s="100">
        <f t="shared" si="13"/>
        <v>0</v>
      </c>
      <c r="L45" s="100">
        <f t="shared" si="13"/>
        <v>0</v>
      </c>
      <c r="M45" s="100">
        <f t="shared" si="13"/>
        <v>0</v>
      </c>
      <c r="N45" s="100">
        <f t="shared" si="13"/>
        <v>0</v>
      </c>
      <c r="O45" s="100">
        <f t="shared" si="13"/>
        <v>0</v>
      </c>
      <c r="P45" s="100">
        <f>SUM(P41:P44)</f>
        <v>0</v>
      </c>
      <c r="Q45" s="100">
        <f t="shared" si="13"/>
        <v>0</v>
      </c>
      <c r="R45" s="101"/>
      <c r="S45" s="157">
        <f>SUM(S41:S44)</f>
        <v>0</v>
      </c>
      <c r="T45" s="127">
        <f t="shared" si="3"/>
      </c>
      <c r="U45" s="157">
        <f>SUM(U41:U44)</f>
        <v>186</v>
      </c>
      <c r="V45" s="129">
        <f t="shared" si="1"/>
        <v>-186</v>
      </c>
      <c r="W45" s="130">
        <f t="shared" si="11"/>
        <v>-0.10005379236148466</v>
      </c>
      <c r="Y45" s="157">
        <f>SUM(Y41:Y44)</f>
        <v>1020</v>
      </c>
      <c r="Z45" s="164">
        <f t="shared" si="4"/>
        <v>0</v>
      </c>
      <c r="AA45" s="157">
        <f>SUM(AA41:AA44)</f>
        <v>968</v>
      </c>
      <c r="AB45" s="132">
        <f t="shared" si="5"/>
        <v>-0.1921487603305785</v>
      </c>
    </row>
    <row r="46" spans="1:28" ht="12.75">
      <c r="A46" s="83"/>
      <c r="B46" s="42"/>
      <c r="C46" s="42"/>
      <c r="D46" s="43"/>
      <c r="E46" s="42"/>
      <c r="F46" s="42"/>
      <c r="G46" s="42"/>
      <c r="H46" s="51"/>
      <c r="I46" s="74">
        <f>$I$7*G46/100</f>
        <v>0</v>
      </c>
      <c r="J46" s="54"/>
      <c r="K46" s="54"/>
      <c r="L46" s="54"/>
      <c r="M46" s="54"/>
      <c r="N46" s="54"/>
      <c r="O46" s="47"/>
      <c r="P46" s="54"/>
      <c r="Q46" s="54"/>
      <c r="R46" s="56"/>
      <c r="S46" s="159"/>
      <c r="T46" s="147">
        <f t="shared" si="3"/>
      </c>
      <c r="U46" s="116"/>
      <c r="V46" s="117">
        <f t="shared" si="1"/>
        <v>0</v>
      </c>
      <c r="W46" s="136">
        <f t="shared" si="11"/>
        <v>0</v>
      </c>
      <c r="Y46" s="116"/>
      <c r="Z46" s="137"/>
      <c r="AA46" s="54"/>
      <c r="AB46" s="138"/>
    </row>
    <row r="47" spans="1:28" ht="12.75">
      <c r="A47" s="110" t="s">
        <v>121</v>
      </c>
      <c r="B47" s="65"/>
      <c r="C47" s="65"/>
      <c r="D47" s="168"/>
      <c r="E47" s="65"/>
      <c r="F47" s="65"/>
      <c r="G47" s="65"/>
      <c r="H47" s="51"/>
      <c r="I47" s="51"/>
      <c r="J47" s="51"/>
      <c r="K47" s="51"/>
      <c r="L47" s="169"/>
      <c r="M47" s="169"/>
      <c r="N47" s="169"/>
      <c r="O47" s="74"/>
      <c r="P47" s="169"/>
      <c r="Q47" s="169"/>
      <c r="R47" s="170"/>
      <c r="S47" s="159">
        <f>SUM(H47:R47)</f>
        <v>0</v>
      </c>
      <c r="T47" s="147">
        <f t="shared" si="3"/>
      </c>
      <c r="U47" s="171"/>
      <c r="V47" s="117">
        <f t="shared" si="1"/>
        <v>0</v>
      </c>
      <c r="W47" s="136">
        <f t="shared" si="11"/>
        <v>0</v>
      </c>
      <c r="Y47" s="116"/>
      <c r="Z47" s="137"/>
      <c r="AA47" s="54"/>
      <c r="AB47" s="138"/>
    </row>
    <row r="48" spans="1:28" ht="12.75">
      <c r="A48" s="83" t="s">
        <v>4</v>
      </c>
      <c r="B48" s="42"/>
      <c r="C48" s="65"/>
      <c r="D48" s="43"/>
      <c r="E48" s="57">
        <v>398</v>
      </c>
      <c r="F48" s="42">
        <v>19</v>
      </c>
      <c r="G48" s="42">
        <v>6</v>
      </c>
      <c r="H48" s="51">
        <f>+'Table 1'!$L2</f>
        <v>0</v>
      </c>
      <c r="I48" s="51">
        <f>+'Table 1'!$L3</f>
        <v>0</v>
      </c>
      <c r="J48" s="51">
        <f>+'Table 1'!$L4</f>
        <v>0</v>
      </c>
      <c r="K48" s="51">
        <f>+'Table 1'!$L5</f>
        <v>0</v>
      </c>
      <c r="L48" s="54"/>
      <c r="M48" s="54"/>
      <c r="N48" s="54"/>
      <c r="O48" s="47"/>
      <c r="P48" s="54"/>
      <c r="Q48" s="54"/>
      <c r="R48" s="56"/>
      <c r="S48" s="149">
        <f>SUM(H48:R48)</f>
        <v>0</v>
      </c>
      <c r="T48" s="147">
        <f t="shared" si="3"/>
      </c>
      <c r="U48" s="116">
        <v>4</v>
      </c>
      <c r="V48" s="150">
        <f t="shared" si="1"/>
        <v>-4</v>
      </c>
      <c r="W48" s="136">
        <f t="shared" si="11"/>
        <v>-0.002151694459386767</v>
      </c>
      <c r="Y48" s="116">
        <v>793</v>
      </c>
      <c r="Z48" s="137">
        <f t="shared" si="4"/>
        <v>0</v>
      </c>
      <c r="AA48" s="54">
        <v>689</v>
      </c>
      <c r="AB48" s="138">
        <f t="shared" si="5"/>
        <v>-0.005805515239477504</v>
      </c>
    </row>
    <row r="49" spans="1:28" ht="12.75">
      <c r="A49" s="83" t="s">
        <v>5</v>
      </c>
      <c r="B49" s="42"/>
      <c r="C49" s="65"/>
      <c r="D49" s="43"/>
      <c r="E49" s="57">
        <v>20</v>
      </c>
      <c r="F49" s="42">
        <v>1</v>
      </c>
      <c r="G49" s="42"/>
      <c r="H49" s="51">
        <f>+'Table 1'!$I2</f>
        <v>0</v>
      </c>
      <c r="I49" s="51">
        <f>+'Table 1'!$I3</f>
        <v>0</v>
      </c>
      <c r="J49" s="51">
        <f>+'Table 1'!$I4</f>
        <v>0</v>
      </c>
      <c r="K49" s="51">
        <f>+'Table 1'!$I5</f>
        <v>0</v>
      </c>
      <c r="L49" s="54"/>
      <c r="M49" s="54"/>
      <c r="N49" s="54"/>
      <c r="O49" s="47"/>
      <c r="P49" s="54"/>
      <c r="Q49" s="54"/>
      <c r="R49" s="56"/>
      <c r="S49" s="149">
        <f>SUM(H49:R49)</f>
        <v>0</v>
      </c>
      <c r="T49" s="147">
        <f t="shared" si="3"/>
      </c>
      <c r="U49" s="116"/>
      <c r="V49" s="150">
        <f t="shared" si="1"/>
        <v>0</v>
      </c>
      <c r="W49" s="136">
        <f t="shared" si="11"/>
        <v>0</v>
      </c>
      <c r="Y49" s="116">
        <v>33</v>
      </c>
      <c r="Z49" s="137">
        <f t="shared" si="4"/>
        <v>0</v>
      </c>
      <c r="AA49" s="54">
        <v>33</v>
      </c>
      <c r="AB49" s="138">
        <f t="shared" si="5"/>
        <v>0</v>
      </c>
    </row>
    <row r="50" spans="1:28" ht="12.75">
      <c r="A50" s="83" t="s">
        <v>17</v>
      </c>
      <c r="B50" s="42"/>
      <c r="C50" s="65"/>
      <c r="D50" s="43"/>
      <c r="E50" s="42">
        <v>9</v>
      </c>
      <c r="F50" s="42"/>
      <c r="G50" s="42"/>
      <c r="H50" s="51">
        <f>+'Table 1'!$G2</f>
        <v>0</v>
      </c>
      <c r="I50" s="51">
        <f>+'Table 1'!$G3</f>
        <v>0</v>
      </c>
      <c r="J50" s="51">
        <f>+'Table 1'!$G4</f>
        <v>0</v>
      </c>
      <c r="K50" s="51">
        <f>+'Table 1'!$G5</f>
        <v>0</v>
      </c>
      <c r="L50" s="54"/>
      <c r="M50" s="54"/>
      <c r="N50" s="54"/>
      <c r="O50" s="47"/>
      <c r="P50" s="54"/>
      <c r="Q50" s="54"/>
      <c r="R50" s="56"/>
      <c r="S50" s="149">
        <f>SUM(H50:R50)</f>
        <v>0</v>
      </c>
      <c r="T50" s="147">
        <f t="shared" si="3"/>
      </c>
      <c r="U50" s="116"/>
      <c r="V50" s="150">
        <f t="shared" si="1"/>
        <v>0</v>
      </c>
      <c r="W50" s="136">
        <f t="shared" si="11"/>
        <v>0</v>
      </c>
      <c r="Y50" s="116">
        <v>14</v>
      </c>
      <c r="Z50" s="137">
        <f t="shared" si="4"/>
        <v>0</v>
      </c>
      <c r="AA50" s="54">
        <v>14</v>
      </c>
      <c r="AB50" s="138">
        <f t="shared" si="5"/>
        <v>0</v>
      </c>
    </row>
    <row r="51" spans="1:28" ht="12.75">
      <c r="A51" s="172" t="s">
        <v>122</v>
      </c>
      <c r="B51" s="42"/>
      <c r="C51" s="42"/>
      <c r="D51" s="43"/>
      <c r="E51" s="57">
        <v>16</v>
      </c>
      <c r="F51" s="57">
        <v>1</v>
      </c>
      <c r="G51" s="57"/>
      <c r="H51" s="51">
        <f>+'Table 1'!$AA2</f>
        <v>0</v>
      </c>
      <c r="I51" s="51">
        <f>+'Table 1'!$AA3</f>
        <v>0</v>
      </c>
      <c r="J51" s="51">
        <f>+'Table 1'!$AA4</f>
        <v>0</v>
      </c>
      <c r="K51" s="51">
        <f>+'Table 1'!$AA5</f>
        <v>0</v>
      </c>
      <c r="L51" s="54"/>
      <c r="M51" s="54"/>
      <c r="N51" s="54"/>
      <c r="O51" s="47"/>
      <c r="P51" s="54"/>
      <c r="Q51" s="54"/>
      <c r="R51" s="56"/>
      <c r="S51" s="149">
        <f>SUM(H51:R51)</f>
        <v>0</v>
      </c>
      <c r="T51" s="147">
        <f t="shared" si="3"/>
      </c>
      <c r="U51" s="116"/>
      <c r="V51" s="150">
        <f t="shared" si="1"/>
        <v>0</v>
      </c>
      <c r="W51" s="136">
        <f t="shared" si="11"/>
        <v>0</v>
      </c>
      <c r="Y51" s="116">
        <v>27</v>
      </c>
      <c r="Z51" s="137">
        <f t="shared" si="4"/>
        <v>0</v>
      </c>
      <c r="AA51" s="54">
        <v>27</v>
      </c>
      <c r="AB51" s="138">
        <f t="shared" si="5"/>
        <v>0</v>
      </c>
    </row>
    <row r="52" spans="1:28" ht="12.75">
      <c r="A52" s="173"/>
      <c r="B52" s="59"/>
      <c r="C52" s="59" t="s">
        <v>110</v>
      </c>
      <c r="D52" s="60"/>
      <c r="E52" s="174"/>
      <c r="F52" s="175"/>
      <c r="G52" s="175"/>
      <c r="H52" s="100">
        <f aca="true" t="shared" si="14" ref="H52:Q52">SUM(H47:H51)</f>
        <v>0</v>
      </c>
      <c r="I52" s="100">
        <f t="shared" si="14"/>
        <v>0</v>
      </c>
      <c r="J52" s="100">
        <f t="shared" si="14"/>
        <v>0</v>
      </c>
      <c r="K52" s="100">
        <f t="shared" si="14"/>
        <v>0</v>
      </c>
      <c r="L52" s="100">
        <f t="shared" si="14"/>
        <v>0</v>
      </c>
      <c r="M52" s="100">
        <f t="shared" si="14"/>
        <v>0</v>
      </c>
      <c r="N52" s="100">
        <f t="shared" si="14"/>
        <v>0</v>
      </c>
      <c r="O52" s="100">
        <f t="shared" si="14"/>
        <v>0</v>
      </c>
      <c r="P52" s="100">
        <f t="shared" si="14"/>
        <v>0</v>
      </c>
      <c r="Q52" s="100">
        <f t="shared" si="14"/>
        <v>0</v>
      </c>
      <c r="R52" s="101"/>
      <c r="S52" s="157">
        <f>SUM(S47:S51)</f>
        <v>0</v>
      </c>
      <c r="T52" s="127">
        <f t="shared" si="3"/>
      </c>
      <c r="U52" s="157">
        <f>SUM(U47:U51)</f>
        <v>4</v>
      </c>
      <c r="V52" s="129">
        <f t="shared" si="1"/>
        <v>-4</v>
      </c>
      <c r="W52" s="130">
        <f t="shared" si="11"/>
        <v>-0.002151694459386767</v>
      </c>
      <c r="Y52" s="157">
        <f>SUM(Y47:Y51)</f>
        <v>867</v>
      </c>
      <c r="Z52" s="164">
        <f t="shared" si="4"/>
        <v>0</v>
      </c>
      <c r="AA52" s="157">
        <f>SUM(AA47:AA51)</f>
        <v>763</v>
      </c>
      <c r="AB52" s="132">
        <f t="shared" si="5"/>
        <v>-0.005242463958060288</v>
      </c>
    </row>
    <row r="53" spans="1:28" ht="12.75">
      <c r="A53" s="172"/>
      <c r="B53" s="42"/>
      <c r="C53" s="42"/>
      <c r="D53" s="43"/>
      <c r="E53" s="57"/>
      <c r="F53" s="57"/>
      <c r="G53" s="57"/>
      <c r="H53" s="116"/>
      <c r="I53" s="74">
        <f>$I$7*G53/100</f>
        <v>0</v>
      </c>
      <c r="J53" s="54"/>
      <c r="K53" s="54"/>
      <c r="L53" s="54"/>
      <c r="M53" s="54"/>
      <c r="N53" s="54"/>
      <c r="O53" s="47"/>
      <c r="P53" s="54"/>
      <c r="Q53" s="54"/>
      <c r="R53" s="42"/>
      <c r="S53" s="159"/>
      <c r="T53" s="176"/>
      <c r="U53" s="116"/>
      <c r="V53" s="117">
        <f t="shared" si="1"/>
        <v>0</v>
      </c>
      <c r="W53" s="136">
        <f t="shared" si="11"/>
        <v>0</v>
      </c>
      <c r="Y53" s="116"/>
      <c r="Z53" s="137"/>
      <c r="AA53" s="54"/>
      <c r="AB53" s="138"/>
    </row>
    <row r="54" spans="1:28" ht="13.5" thickBot="1">
      <c r="A54" s="177"/>
      <c r="B54" s="178"/>
      <c r="C54" s="178" t="s">
        <v>123</v>
      </c>
      <c r="D54" s="179"/>
      <c r="E54" s="180">
        <f>SUM(E10:E53)</f>
        <v>3654</v>
      </c>
      <c r="F54" s="180">
        <f>SUM(F10:F53)</f>
        <v>236</v>
      </c>
      <c r="G54" s="180">
        <f>SUM(G8:G53)</f>
        <v>100</v>
      </c>
      <c r="H54" s="181">
        <f aca="true" t="shared" si="15" ref="H54:U54">H52+H45+H38+H32+H28+H19+H8+H5</f>
        <v>0</v>
      </c>
      <c r="I54" s="181">
        <f t="shared" si="15"/>
        <v>84</v>
      </c>
      <c r="J54" s="181">
        <f t="shared" si="15"/>
        <v>2590</v>
      </c>
      <c r="K54" s="181">
        <f t="shared" si="15"/>
        <v>0</v>
      </c>
      <c r="L54" s="181">
        <f t="shared" si="15"/>
        <v>823</v>
      </c>
      <c r="M54" s="181">
        <f t="shared" si="15"/>
        <v>718</v>
      </c>
      <c r="N54" s="181">
        <f t="shared" si="15"/>
        <v>322</v>
      </c>
      <c r="O54" s="181">
        <f t="shared" si="15"/>
        <v>254</v>
      </c>
      <c r="P54" s="181">
        <f t="shared" si="15"/>
        <v>239</v>
      </c>
      <c r="Q54" s="181">
        <f t="shared" si="15"/>
        <v>169</v>
      </c>
      <c r="R54" s="181">
        <f t="shared" si="15"/>
        <v>55</v>
      </c>
      <c r="S54" s="182">
        <f t="shared" si="15"/>
        <v>5254</v>
      </c>
      <c r="T54" s="183" t="e">
        <f t="shared" si="15"/>
        <v>#VALUE!</v>
      </c>
      <c r="U54" s="182">
        <f t="shared" si="15"/>
        <v>3395</v>
      </c>
      <c r="V54" s="184">
        <f t="shared" si="1"/>
        <v>1859</v>
      </c>
      <c r="W54" s="185">
        <f t="shared" si="11"/>
        <v>1</v>
      </c>
      <c r="Y54" s="182">
        <f>Y52+Y45+Y38+Y32+Y28+Y19+Y8+Y5</f>
        <v>20298</v>
      </c>
      <c r="Z54" s="186">
        <f t="shared" si="4"/>
        <v>0.25884323578677704</v>
      </c>
      <c r="AA54" s="182">
        <f>AA52+AA45+AA38+AA32+AA28+AA19+AA8+AA5</f>
        <v>17376</v>
      </c>
      <c r="AB54" s="187">
        <f t="shared" si="5"/>
        <v>0.1069866482504604</v>
      </c>
    </row>
    <row r="55" ht="13.5" thickTop="1">
      <c r="R55" s="188"/>
    </row>
    <row r="56" spans="1:11" ht="15.75">
      <c r="A56" s="616" t="s">
        <v>124</v>
      </c>
      <c r="B56" s="616"/>
      <c r="C56" s="616"/>
      <c r="D56" s="616"/>
      <c r="E56" s="616"/>
      <c r="F56" s="616"/>
      <c r="G56" s="616"/>
      <c r="H56" s="616"/>
      <c r="I56" s="616"/>
      <c r="J56" s="616"/>
      <c r="K56" s="616"/>
    </row>
  </sheetData>
  <mergeCells count="1">
    <mergeCell ref="A56:K56"/>
  </mergeCells>
  <printOptions horizontalCentered="1" verticalCentered="1"/>
  <pageMargins left="0.35433070866141736" right="0.35433070866141736" top="0.5905511811023623" bottom="0.3937007874015748" header="0.31496062992125984" footer="0.5118110236220472"/>
  <pageSetup fitToHeight="1" fitToWidth="1" horizontalDpi="600" verticalDpi="600" orientation="landscape" paperSize="9" scale="58" r:id="rId1"/>
  <headerFooter alignWithMargins="0">
    <oddHeader>&amp;C&amp;"Arial,Bold"&amp;14TABLE 3 : Allocation per technical body and Standardization focus areas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3"/>
  <sheetViews>
    <sheetView workbookViewId="0" topLeftCell="B23">
      <selection activeCell="H49" sqref="H49"/>
    </sheetView>
  </sheetViews>
  <sheetFormatPr defaultColWidth="9.140625" defaultRowHeight="12.75"/>
  <cols>
    <col min="1" max="1" width="29.421875" style="195" customWidth="1"/>
    <col min="2" max="4" width="13.8515625" style="195" customWidth="1"/>
    <col min="5" max="5" width="11.00390625" style="194" customWidth="1"/>
    <col min="6" max="10" width="9.140625" style="195" customWidth="1"/>
    <col min="11" max="11" width="9.28125" style="195" bestFit="1" customWidth="1"/>
    <col min="12" max="12" width="9.421875" style="195" bestFit="1" customWidth="1"/>
    <col min="13" max="16384" width="9.140625" style="195" customWidth="1"/>
  </cols>
  <sheetData>
    <row r="1" spans="2:7" ht="12.75">
      <c r="B1" s="617">
        <v>2000</v>
      </c>
      <c r="C1" s="617"/>
      <c r="D1" s="617"/>
      <c r="E1" s="617"/>
      <c r="G1" s="245">
        <v>2001</v>
      </c>
    </row>
    <row r="2" spans="1:4" ht="13.5" customHeight="1">
      <c r="A2" s="193" t="s">
        <v>128</v>
      </c>
      <c r="B2" s="193" t="s">
        <v>129</v>
      </c>
      <c r="C2" s="193" t="s">
        <v>130</v>
      </c>
      <c r="D2" s="193" t="s">
        <v>131</v>
      </c>
    </row>
    <row r="3" spans="1:4" ht="13.5" customHeight="1">
      <c r="A3" s="196" t="s">
        <v>132</v>
      </c>
      <c r="B3" s="197">
        <v>1875.12</v>
      </c>
      <c r="C3" s="197">
        <v>428</v>
      </c>
      <c r="D3" s="198">
        <f>SUM(B3:C3)/1000</f>
        <v>2.30312</v>
      </c>
    </row>
    <row r="4" spans="1:4" ht="13.5" customHeight="1">
      <c r="A4" s="196"/>
      <c r="B4" s="197"/>
      <c r="C4" s="197"/>
      <c r="D4" s="198"/>
    </row>
    <row r="5" spans="1:7" ht="13.5" customHeight="1">
      <c r="A5" s="196" t="s">
        <v>133</v>
      </c>
      <c r="B5" s="197">
        <v>236193.15</v>
      </c>
      <c r="C5" s="197">
        <v>256132.09</v>
      </c>
      <c r="D5" s="198">
        <f>SUM(B5:C5)/1000+($D$12)*E5/$C$11</f>
        <v>493.4654773856294</v>
      </c>
      <c r="E5" s="194">
        <f>SUM(B5:C5)</f>
        <v>492325.24</v>
      </c>
      <c r="G5" s="194">
        <f>E5/$C$11*($G$11-60)</f>
        <v>1026.6607228276753</v>
      </c>
    </row>
    <row r="6" spans="1:7" ht="13.5" customHeight="1">
      <c r="A6" s="196" t="s">
        <v>134</v>
      </c>
      <c r="B6" s="197">
        <v>246282.19</v>
      </c>
      <c r="C6" s="197">
        <v>266293.25</v>
      </c>
      <c r="D6" s="198">
        <f>SUM(B6:C6)/1000+($D$12)*E6/$C$11</f>
        <v>513.7625773477489</v>
      </c>
      <c r="E6" s="194">
        <f>SUM(B6:C6)</f>
        <v>512575.44</v>
      </c>
      <c r="G6" s="194">
        <f>E6/$C$11*($G$11-60)</f>
        <v>1068.8890777448537</v>
      </c>
    </row>
    <row r="7" spans="1:7" ht="13.5" customHeight="1">
      <c r="A7" s="196" t="s">
        <v>135</v>
      </c>
      <c r="B7" s="197">
        <v>559539.71</v>
      </c>
      <c r="C7" s="197">
        <v>561830.22</v>
      </c>
      <c r="D7" s="198">
        <f>SUM(B7:C7)/1000+($D$12)*E7/$C$11</f>
        <v>1123.967050385919</v>
      </c>
      <c r="E7" s="194">
        <f>SUM(B7:C7)</f>
        <v>1121369.93</v>
      </c>
      <c r="G7" s="194">
        <f>E7/$C$11*($G$11-60)</f>
        <v>2338.4266524523905</v>
      </c>
    </row>
    <row r="8" spans="1:7" ht="13.5" customHeight="1">
      <c r="A8" s="196" t="s">
        <v>136</v>
      </c>
      <c r="B8" s="197">
        <v>222350.28</v>
      </c>
      <c r="C8" s="197">
        <v>232147.94</v>
      </c>
      <c r="D8" s="198">
        <f>SUM(B8:C8)/1000+($D$12)*E8/$C$11</f>
        <v>455.55084907533643</v>
      </c>
      <c r="E8" s="194">
        <f>SUM(B8:C8)</f>
        <v>454498.22</v>
      </c>
      <c r="G8" s="194">
        <f>E8/$C$11*($G$11-60)</f>
        <v>947.7788932151677</v>
      </c>
    </row>
    <row r="9" spans="1:7" ht="13.5" customHeight="1">
      <c r="A9" s="196" t="s">
        <v>137</v>
      </c>
      <c r="B9" s="197">
        <v>398330.72</v>
      </c>
      <c r="C9" s="197">
        <v>468795.55</v>
      </c>
      <c r="D9" s="198">
        <f>SUM(B9:C9)/1000+($D$12)*E9/$C$11</f>
        <v>869.134555805366</v>
      </c>
      <c r="E9" s="194">
        <f>SUM(B9:C9)</f>
        <v>867126.27</v>
      </c>
      <c r="G9" s="194">
        <f>E9/$C$11*($G$11-60)+60</f>
        <v>1868.2446537599133</v>
      </c>
    </row>
    <row r="10" spans="1:4" ht="13.5" customHeight="1" thickBot="1">
      <c r="A10" s="196"/>
      <c r="B10" s="197"/>
      <c r="C10" s="197"/>
      <c r="D10" s="198"/>
    </row>
    <row r="11" spans="1:9" ht="13.5" customHeight="1" thickBot="1" thickTop="1">
      <c r="A11" s="196" t="s">
        <v>123</v>
      </c>
      <c r="B11" s="197"/>
      <c r="C11" s="197">
        <f>SUM(B5:C9)</f>
        <v>3447895.0999999996</v>
      </c>
      <c r="D11" s="199">
        <f>SUM(D5:D9)</f>
        <v>3455.8805099999995</v>
      </c>
      <c r="G11" s="494">
        <f>+'BUDGET 2001'!M46</f>
        <v>7250</v>
      </c>
      <c r="I11" s="194"/>
    </row>
    <row r="12" spans="1:4" ht="13.5" customHeight="1" thickTop="1">
      <c r="A12" s="196" t="s">
        <v>138</v>
      </c>
      <c r="B12" s="197">
        <v>11619.23</v>
      </c>
      <c r="C12" s="197">
        <v>-3633.82</v>
      </c>
      <c r="D12" s="198">
        <f>SUM(B12:C12)/1000</f>
        <v>7.98541</v>
      </c>
    </row>
    <row r="13" spans="1:7" ht="13.5" customHeight="1">
      <c r="A13" s="196"/>
      <c r="B13" s="197"/>
      <c r="C13" s="197"/>
      <c r="D13" s="198"/>
      <c r="G13" s="194"/>
    </row>
    <row r="14" spans="1:7" ht="13.5" customHeight="1">
      <c r="A14" s="196" t="s">
        <v>139</v>
      </c>
      <c r="B14" s="197">
        <v>195887.52</v>
      </c>
      <c r="C14" s="197">
        <v>244435.54</v>
      </c>
      <c r="D14" s="198">
        <f>SUM(B14:C14)/1000</f>
        <v>440.32306</v>
      </c>
      <c r="G14" s="263">
        <f>+'BUDGET 2001'!M69</f>
        <v>940</v>
      </c>
    </row>
    <row r="15" spans="1:7" ht="13.5" customHeight="1">
      <c r="A15" s="196" t="s">
        <v>140</v>
      </c>
      <c r="B15" s="197">
        <v>114484.05</v>
      </c>
      <c r="C15" s="197">
        <v>128971.46</v>
      </c>
      <c r="D15" s="198">
        <f>SUM(B15:C15)/1000</f>
        <v>243.45551</v>
      </c>
      <c r="G15" s="495">
        <f>+'BUDGET 2001'!M76</f>
        <v>520</v>
      </c>
    </row>
    <row r="19" spans="1:4" ht="12.75">
      <c r="A19" s="249" t="s">
        <v>167</v>
      </c>
      <c r="B19" s="249" t="s">
        <v>168</v>
      </c>
      <c r="C19"/>
      <c r="D19" s="249" t="s">
        <v>169</v>
      </c>
    </row>
    <row r="20" spans="1:4" ht="15">
      <c r="A20" s="250" t="s">
        <v>170</v>
      </c>
      <c r="B20"/>
      <c r="C20"/>
      <c r="D20"/>
    </row>
    <row r="21" spans="1:4" ht="12.75">
      <c r="A21"/>
      <c r="B21" s="251">
        <v>28317.612282512422</v>
      </c>
      <c r="C21"/>
      <c r="D21" s="252" t="s">
        <v>171</v>
      </c>
    </row>
    <row r="22" spans="1:7" ht="12.75">
      <c r="A22"/>
      <c r="B22" s="253" t="s">
        <v>172</v>
      </c>
      <c r="C22" s="253">
        <f>+B21</f>
        <v>28317.612282512422</v>
      </c>
      <c r="D22"/>
      <c r="G22" s="261" t="s">
        <v>290</v>
      </c>
    </row>
    <row r="23" spans="1:12" ht="12.75">
      <c r="A23"/>
      <c r="B23" s="254"/>
      <c r="C23" s="254"/>
      <c r="D23"/>
      <c r="G23" s="260" t="s">
        <v>284</v>
      </c>
      <c r="H23" s="260" t="s">
        <v>283</v>
      </c>
      <c r="I23" s="260" t="s">
        <v>281</v>
      </c>
      <c r="J23" s="260" t="s">
        <v>72</v>
      </c>
      <c r="K23" s="260" t="s">
        <v>27</v>
      </c>
      <c r="L23" s="260" t="s">
        <v>390</v>
      </c>
    </row>
    <row r="24" spans="1:12" ht="15">
      <c r="A24" s="264" t="s">
        <v>173</v>
      </c>
      <c r="B24" s="257" t="s">
        <v>285</v>
      </c>
      <c r="C24" s="257" t="s">
        <v>141</v>
      </c>
      <c r="D24"/>
      <c r="I24" s="195">
        <f>SUM(J24:L24)</f>
        <v>5.1000000000000005</v>
      </c>
      <c r="J24" s="195">
        <v>2.45</v>
      </c>
      <c r="K24" s="195">
        <v>1.95</v>
      </c>
      <c r="L24" s="195">
        <v>0.7</v>
      </c>
    </row>
    <row r="25" spans="1:13" ht="12.75">
      <c r="A25"/>
      <c r="B25" s="251">
        <v>129538.60939055457</v>
      </c>
      <c r="C25" s="258">
        <f>B25/$B$43*$G$5</f>
        <v>141.5271026256863</v>
      </c>
      <c r="D25" s="252" t="s">
        <v>184</v>
      </c>
      <c r="E25" s="255" t="s">
        <v>284</v>
      </c>
      <c r="G25" s="194">
        <f>C25+C25/$C$47*(($C$28+$C$29)*0.5)</f>
        <v>158.51579822469037</v>
      </c>
      <c r="I25" s="260"/>
      <c r="M25" s="194"/>
    </row>
    <row r="26" spans="1:13" ht="12.75">
      <c r="A26"/>
      <c r="B26" s="251">
        <v>146940.1195505193</v>
      </c>
      <c r="C26" s="258">
        <f>B26/$B$43*$G$5</f>
        <v>160.53908157032694</v>
      </c>
      <c r="D26" s="252" t="s">
        <v>186</v>
      </c>
      <c r="E26" s="255" t="s">
        <v>284</v>
      </c>
      <c r="G26" s="194">
        <f>C26+C26/$C$47*(($C$28+$C$29)*0.5)</f>
        <v>179.80994586375712</v>
      </c>
      <c r="M26" s="194"/>
    </row>
    <row r="27" spans="1:13" ht="12.75">
      <c r="A27"/>
      <c r="B27" s="251"/>
      <c r="C27" s="258"/>
      <c r="D27" s="252"/>
      <c r="E27" s="255"/>
      <c r="G27" s="194"/>
      <c r="M27" s="194"/>
    </row>
    <row r="28" spans="1:13" ht="12.75">
      <c r="A28"/>
      <c r="B28" s="251">
        <v>47385.014566503596</v>
      </c>
      <c r="C28" s="258">
        <f>B28/$B$43*$G$5</f>
        <v>51.77038607272704</v>
      </c>
      <c r="D28" s="252" t="s">
        <v>179</v>
      </c>
      <c r="E28" s="255" t="s">
        <v>282</v>
      </c>
      <c r="G28" s="194">
        <f>+C28*0.5</f>
        <v>25.88519303636352</v>
      </c>
      <c r="M28" s="194"/>
    </row>
    <row r="29" spans="1:13" ht="12.75">
      <c r="A29"/>
      <c r="B29" s="251">
        <v>226859.0046298767</v>
      </c>
      <c r="C29" s="258">
        <f>B29/$B$43*$G$5</f>
        <v>247.854271254472</v>
      </c>
      <c r="D29" s="252" t="s">
        <v>188</v>
      </c>
      <c r="E29" s="255" t="s">
        <v>282</v>
      </c>
      <c r="G29" s="194">
        <f>+C29*0.5</f>
        <v>123.927135627236</v>
      </c>
      <c r="M29" s="194"/>
    </row>
    <row r="30" spans="1:7" ht="12.75">
      <c r="A30"/>
      <c r="B30" s="251"/>
      <c r="C30"/>
      <c r="D30" s="252"/>
      <c r="E30" s="255"/>
      <c r="G30" s="194"/>
    </row>
    <row r="31" spans="1:13" ht="12.75">
      <c r="A31"/>
      <c r="B31" s="251">
        <v>102862.60593301087</v>
      </c>
      <c r="C31" s="258">
        <f>B31/$B$45*$G$15</f>
        <v>111.30872508699446</v>
      </c>
      <c r="D31" s="252" t="s">
        <v>181</v>
      </c>
      <c r="E31" s="255" t="s">
        <v>283</v>
      </c>
      <c r="G31" s="194"/>
      <c r="H31" s="194">
        <f>C31+C31/$C$47*($C$28+$C$29)*0.5</f>
        <v>124.67005315019593</v>
      </c>
      <c r="M31" s="194"/>
    </row>
    <row r="32" spans="1:13" ht="12.75">
      <c r="A32"/>
      <c r="B32" s="251">
        <v>113626.2330076514</v>
      </c>
      <c r="C32" s="258">
        <f>B32/$B$45*$G$15</f>
        <v>122.95616096636878</v>
      </c>
      <c r="D32" s="252" t="s">
        <v>182</v>
      </c>
      <c r="E32" s="255" t="s">
        <v>283</v>
      </c>
      <c r="G32" s="194"/>
      <c r="H32" s="194">
        <f>C32+C32/$C$47*($C$28+$C$29)*0.5</f>
        <v>137.7156293079518</v>
      </c>
      <c r="M32" s="194"/>
    </row>
    <row r="33" spans="1:13" ht="12.75">
      <c r="A33"/>
      <c r="B33" s="251">
        <v>128512.62239750472</v>
      </c>
      <c r="C33" s="258">
        <f>B33/$B$45*$G$15</f>
        <v>139.0648820035574</v>
      </c>
      <c r="D33" s="252" t="s">
        <v>183</v>
      </c>
      <c r="E33" s="255" t="s">
        <v>283</v>
      </c>
      <c r="G33" s="194"/>
      <c r="H33" s="194">
        <f>C33+C33/$C$47*($C$28+$C$29)*0.5</f>
        <v>155.75801642826417</v>
      </c>
      <c r="M33" s="194"/>
    </row>
    <row r="34" spans="1:13" ht="12.75">
      <c r="A34"/>
      <c r="B34" s="251">
        <v>135540.87748892079</v>
      </c>
      <c r="C34" s="258">
        <f>B34/$B$45*$G$15</f>
        <v>146.67023194307941</v>
      </c>
      <c r="D34" s="252" t="s">
        <v>185</v>
      </c>
      <c r="E34" s="255" t="s">
        <v>283</v>
      </c>
      <c r="G34" s="194"/>
      <c r="H34" s="194">
        <f>C34+C34/$C$47*($C$28+$C$29)*0.5</f>
        <v>164.27630087043173</v>
      </c>
      <c r="M34" s="194"/>
    </row>
    <row r="35" spans="1:7" ht="12.75">
      <c r="A35"/>
      <c r="B35" s="251"/>
      <c r="C35"/>
      <c r="D35" s="252"/>
      <c r="E35" s="255"/>
      <c r="G35" s="194"/>
    </row>
    <row r="36" spans="1:13" ht="12.75">
      <c r="A36"/>
      <c r="B36" s="251">
        <v>26156.24957123714</v>
      </c>
      <c r="C36" s="258">
        <f aca="true" t="shared" si="0" ref="C36:C41">B36/$B$43*$G$5</f>
        <v>28.576948870978566</v>
      </c>
      <c r="D36" s="252" t="s">
        <v>174</v>
      </c>
      <c r="E36" s="255" t="s">
        <v>281</v>
      </c>
      <c r="G36" s="194"/>
      <c r="I36" s="194">
        <f>C36+C36/$C$47*($C$28+$C$29)*0.5</f>
        <v>32.00728183555128</v>
      </c>
      <c r="M36" s="194"/>
    </row>
    <row r="37" spans="1:13" ht="12.75">
      <c r="A37"/>
      <c r="B37" s="251">
        <v>30221.99305747175</v>
      </c>
      <c r="C37" s="258">
        <f t="shared" si="0"/>
        <v>33.01896734202136</v>
      </c>
      <c r="D37" s="252" t="s">
        <v>175</v>
      </c>
      <c r="E37" s="255" t="s">
        <v>281</v>
      </c>
      <c r="G37" s="194"/>
      <c r="I37" s="194">
        <f aca="true" t="shared" si="1" ref="I37:I42">C37+C37/$C$47*($C$28+$C$29)*0.5</f>
        <v>36.982513367906364</v>
      </c>
      <c r="M37" s="194"/>
    </row>
    <row r="38" spans="1:13" ht="12.75">
      <c r="A38"/>
      <c r="B38" s="251">
        <v>38475.01303439097</v>
      </c>
      <c r="C38" s="258">
        <f t="shared" si="0"/>
        <v>42.03578488190807</v>
      </c>
      <c r="D38" s="252" t="s">
        <v>176</v>
      </c>
      <c r="E38" s="255" t="s">
        <v>281</v>
      </c>
      <c r="G38" s="194"/>
      <c r="I38" s="194">
        <f t="shared" si="1"/>
        <v>47.08169580903775</v>
      </c>
      <c r="M38" s="194"/>
    </row>
    <row r="39" spans="1:13" ht="12.75">
      <c r="A39"/>
      <c r="B39" s="251">
        <v>40540.50677102311</v>
      </c>
      <c r="C39" s="258">
        <f t="shared" si="0"/>
        <v>44.29243519961918</v>
      </c>
      <c r="D39" s="252" t="s">
        <v>177</v>
      </c>
      <c r="E39" s="255" t="s">
        <v>281</v>
      </c>
      <c r="G39" s="194"/>
      <c r="I39" s="194">
        <f t="shared" si="1"/>
        <v>49.60923095806194</v>
      </c>
      <c r="M39" s="194"/>
    </row>
    <row r="40" spans="1:13" ht="12.75">
      <c r="A40"/>
      <c r="B40" s="251">
        <v>40886.9938120944</v>
      </c>
      <c r="C40" s="258">
        <f t="shared" si="0"/>
        <v>44.67098880036318</v>
      </c>
      <c r="D40" s="252" t="s">
        <v>178</v>
      </c>
      <c r="E40" s="255" t="s">
        <v>281</v>
      </c>
      <c r="G40" s="194"/>
      <c r="I40" s="194">
        <f t="shared" si="1"/>
        <v>50.03322555047209</v>
      </c>
      <c r="M40" s="194"/>
    </row>
    <row r="41" spans="1:13" ht="12.75">
      <c r="A41"/>
      <c r="B41" s="251">
        <v>51796.128709656274</v>
      </c>
      <c r="C41" s="258">
        <f t="shared" si="0"/>
        <v>56.58973844163634</v>
      </c>
      <c r="D41" s="252" t="s">
        <v>180</v>
      </c>
      <c r="E41" s="255" t="s">
        <v>281</v>
      </c>
      <c r="G41" s="194">
        <f>(C41+C41/$C$47*($C$28+$C$29)*0.5)*0.5</f>
        <v>31.69134177828623</v>
      </c>
      <c r="I41" s="194">
        <f>(C41+C41/$C$47*($C$28+$C$29)*0.5)*0.5</f>
        <v>31.69134177828623</v>
      </c>
      <c r="M41" s="194"/>
    </row>
    <row r="42" spans="1:13" ht="12.75">
      <c r="A42"/>
      <c r="B42" s="251">
        <v>160894.60132295257</v>
      </c>
      <c r="C42" s="258">
        <f>B42/$B$43*$G$5</f>
        <v>175.78501776793627</v>
      </c>
      <c r="D42" s="252" t="s">
        <v>187</v>
      </c>
      <c r="E42" s="255" t="s">
        <v>281</v>
      </c>
      <c r="G42" s="194"/>
      <c r="I42" s="194">
        <f t="shared" si="1"/>
        <v>196.88598078011188</v>
      </c>
      <c r="M42" s="194"/>
    </row>
    <row r="43" spans="1:4" ht="12.75">
      <c r="A43" s="256" t="s">
        <v>288</v>
      </c>
      <c r="B43" s="253">
        <f>SUM(B36:B42)+SUM(B25:B29)</f>
        <v>939694.2344162804</v>
      </c>
      <c r="D43"/>
    </row>
    <row r="44" spans="1:13" ht="12.75">
      <c r="A44"/>
      <c r="B44" s="256" t="s">
        <v>286</v>
      </c>
      <c r="C44" s="259">
        <f>SUM(C36:C42)+SUM(C25:C29)</f>
        <v>1026.6607228276753</v>
      </c>
      <c r="D44"/>
      <c r="I44" s="194"/>
      <c r="M44" s="194"/>
    </row>
    <row r="45" spans="1:4" ht="12.75">
      <c r="A45" s="256" t="s">
        <v>289</v>
      </c>
      <c r="B45" s="256">
        <f>SUM(B31:B34)</f>
        <v>480542.3388270878</v>
      </c>
      <c r="C45" s="259"/>
      <c r="D45"/>
    </row>
    <row r="46" spans="1:4" ht="12.75">
      <c r="A46"/>
      <c r="B46" s="256" t="s">
        <v>287</v>
      </c>
      <c r="C46" s="259">
        <f>SUM(C31:C34)</f>
        <v>520</v>
      </c>
      <c r="D46" s="244"/>
    </row>
    <row r="47" spans="1:14" ht="12.75">
      <c r="A47" s="262" t="s">
        <v>291</v>
      </c>
      <c r="B47" s="256"/>
      <c r="C47" s="259">
        <f>SUM(C44:C46)-C28-C29+1</f>
        <v>1248.0360655004763</v>
      </c>
      <c r="D47"/>
      <c r="G47" s="263">
        <f>SUM(G25:G42)</f>
        <v>519.8294145303332</v>
      </c>
      <c r="H47" s="263">
        <f>SUM(H31:H46)</f>
        <v>582.4199997568436</v>
      </c>
      <c r="I47" s="263">
        <f>SUM(I25:I42)</f>
        <v>444.29127007942753</v>
      </c>
      <c r="J47" s="194">
        <f>J24/$I$24*$I$47</f>
        <v>213.43404150874457</v>
      </c>
      <c r="K47" s="194">
        <f>K24/$I$24*$I$47</f>
        <v>169.87607385389876</v>
      </c>
      <c r="L47" s="194">
        <f>L24/$I$24*$I$47</f>
        <v>60.98115471678416</v>
      </c>
      <c r="N47" s="194"/>
    </row>
    <row r="48" spans="1:4" ht="12.75">
      <c r="A48"/>
      <c r="B48" s="256"/>
      <c r="C48" s="259"/>
      <c r="D48"/>
    </row>
    <row r="49" spans="1:10" ht="15">
      <c r="A49" s="250" t="s">
        <v>189</v>
      </c>
      <c r="B49"/>
      <c r="C49"/>
      <c r="D49"/>
      <c r="H49" s="194"/>
      <c r="I49" s="194"/>
      <c r="J49" s="194"/>
    </row>
    <row r="50" spans="1:11" ht="12.75">
      <c r="A50"/>
      <c r="B50" s="251">
        <v>39028.494093362824</v>
      </c>
      <c r="C50" s="188">
        <f>B50/$B$60*$G$6</f>
        <v>34.90849741935973</v>
      </c>
      <c r="D50" s="252" t="s">
        <v>190</v>
      </c>
      <c r="I50" s="495"/>
      <c r="K50" s="495"/>
    </row>
    <row r="51" spans="1:4" ht="12.75">
      <c r="A51"/>
      <c r="B51" s="251">
        <v>44090.987061651904</v>
      </c>
      <c r="C51" s="188">
        <f aca="true" t="shared" si="2" ref="C51:C59">B51/$B$60*$G$6</f>
        <v>39.436574323795035</v>
      </c>
      <c r="D51" s="252" t="s">
        <v>191</v>
      </c>
    </row>
    <row r="52" spans="1:4" ht="12.75">
      <c r="A52"/>
      <c r="B52" s="251">
        <v>58285.54996745213</v>
      </c>
      <c r="C52" s="188">
        <f t="shared" si="2"/>
        <v>52.1327050374403</v>
      </c>
      <c r="D52" s="252" t="s">
        <v>192</v>
      </c>
    </row>
    <row r="53" spans="1:4" ht="12.75">
      <c r="A53"/>
      <c r="B53" s="251">
        <v>81278.3825769067</v>
      </c>
      <c r="C53" s="188">
        <f t="shared" si="2"/>
        <v>72.6983265520919</v>
      </c>
      <c r="D53" s="252" t="s">
        <v>193</v>
      </c>
    </row>
    <row r="54" spans="1:4" ht="12.75">
      <c r="A54"/>
      <c r="B54" s="251">
        <v>88424.9996569897</v>
      </c>
      <c r="C54" s="188">
        <f t="shared" si="2"/>
        <v>79.09051947914762</v>
      </c>
      <c r="D54" s="252" t="s">
        <v>194</v>
      </c>
    </row>
    <row r="55" spans="1:4" ht="12.75">
      <c r="A55"/>
      <c r="B55" s="251">
        <v>88424.9996569897</v>
      </c>
      <c r="C55" s="188">
        <f t="shared" si="2"/>
        <v>79.09051947914762</v>
      </c>
      <c r="D55" s="252" t="s">
        <v>195</v>
      </c>
    </row>
    <row r="56" spans="1:4" ht="12.75">
      <c r="A56"/>
      <c r="B56" s="251">
        <v>127347.70434647393</v>
      </c>
      <c r="C56" s="188">
        <f t="shared" si="2"/>
        <v>113.90439502753641</v>
      </c>
      <c r="D56" s="252" t="s">
        <v>196</v>
      </c>
    </row>
    <row r="57" spans="1:4" ht="12.75">
      <c r="A57"/>
      <c r="B57" s="251">
        <v>160314.10717470807</v>
      </c>
      <c r="C57" s="188">
        <f t="shared" si="2"/>
        <v>143.3907386538638</v>
      </c>
      <c r="D57" s="252" t="s">
        <v>197</v>
      </c>
    </row>
    <row r="58" spans="1:4" ht="12.75">
      <c r="A58"/>
      <c r="B58" s="251">
        <v>226199.026765474</v>
      </c>
      <c r="C58" s="188">
        <f t="shared" si="2"/>
        <v>202.32059487652813</v>
      </c>
      <c r="D58" s="252" t="s">
        <v>198</v>
      </c>
    </row>
    <row r="59" spans="1:4" ht="12.75">
      <c r="A59"/>
      <c r="B59" s="251">
        <v>281648.0490337019</v>
      </c>
      <c r="C59" s="188">
        <f t="shared" si="2"/>
        <v>251.91620689594316</v>
      </c>
      <c r="D59" s="252" t="s">
        <v>199</v>
      </c>
    </row>
    <row r="60" spans="1:4" ht="12.75">
      <c r="A60" s="256" t="s">
        <v>292</v>
      </c>
      <c r="B60" s="253">
        <f>SUM(B50:B59)</f>
        <v>1195042.3003337109</v>
      </c>
      <c r="D60"/>
    </row>
    <row r="61" spans="1:4" ht="12.75">
      <c r="A61" s="253"/>
      <c r="B61" s="256" t="s">
        <v>293</v>
      </c>
      <c r="C61" s="259">
        <f>SUM(C50:C59)</f>
        <v>1068.8890777448537</v>
      </c>
      <c r="D61"/>
    </row>
    <row r="62" spans="1:4" ht="12.75">
      <c r="A62"/>
      <c r="B62" s="254"/>
      <c r="C62" s="254"/>
      <c r="D62"/>
    </row>
    <row r="63" spans="1:4" ht="15">
      <c r="A63" s="250" t="s">
        <v>200</v>
      </c>
      <c r="B63"/>
      <c r="C63"/>
      <c r="D63"/>
    </row>
    <row r="64" spans="1:5" ht="12.75">
      <c r="A64"/>
      <c r="B64" s="251">
        <v>27573.758112193333</v>
      </c>
      <c r="C64" s="188">
        <f>B64/$B$102*$G$7</f>
        <v>35.97118488767652</v>
      </c>
      <c r="D64" s="252" t="s">
        <v>206</v>
      </c>
      <c r="E64" s="255" t="s">
        <v>296</v>
      </c>
    </row>
    <row r="65" spans="1:5" ht="12.75">
      <c r="A65"/>
      <c r="B65" s="251">
        <v>30194.987171415203</v>
      </c>
      <c r="C65" s="188">
        <f aca="true" t="shared" si="3" ref="C65:C77">B65/$B$102*$G$7</f>
        <v>39.390693927342944</v>
      </c>
      <c r="D65" s="252" t="s">
        <v>207</v>
      </c>
      <c r="E65" s="255" t="s">
        <v>296</v>
      </c>
    </row>
    <row r="66" spans="1:5" ht="12.75">
      <c r="A66"/>
      <c r="B66" s="251">
        <v>32892.28562238074</v>
      </c>
      <c r="C66" s="188">
        <f t="shared" si="3"/>
        <v>42.909438847137515</v>
      </c>
      <c r="D66" s="252" t="s">
        <v>208</v>
      </c>
      <c r="E66" s="255" t="s">
        <v>296</v>
      </c>
    </row>
    <row r="67" spans="1:5" ht="12.75">
      <c r="A67"/>
      <c r="B67" s="251">
        <v>36535.4966865206</v>
      </c>
      <c r="C67" s="188">
        <f t="shared" si="3"/>
        <v>47.662168534537365</v>
      </c>
      <c r="D67" s="252" t="s">
        <v>210</v>
      </c>
      <c r="E67" s="255" t="s">
        <v>296</v>
      </c>
    </row>
    <row r="68" spans="1:5" ht="12.75">
      <c r="A68"/>
      <c r="B68" s="251">
        <v>38340.00932987985</v>
      </c>
      <c r="C68" s="188">
        <f t="shared" si="3"/>
        <v>50.016234950232864</v>
      </c>
      <c r="D68" s="252" t="s">
        <v>211</v>
      </c>
      <c r="E68" s="255" t="s">
        <v>296</v>
      </c>
    </row>
    <row r="69" spans="1:5" ht="12.75">
      <c r="A69"/>
      <c r="B69" s="251">
        <v>46167.73645223696</v>
      </c>
      <c r="C69" s="188">
        <f t="shared" si="3"/>
        <v>60.22785058938196</v>
      </c>
      <c r="D69" s="252" t="s">
        <v>215</v>
      </c>
      <c r="E69" s="255" t="s">
        <v>296</v>
      </c>
    </row>
    <row r="70" spans="1:5" ht="12.75">
      <c r="A70"/>
      <c r="B70" s="251">
        <v>46806.73626472467</v>
      </c>
      <c r="C70" s="188">
        <f t="shared" si="3"/>
        <v>61.061454057747106</v>
      </c>
      <c r="D70" s="252" t="s">
        <v>217</v>
      </c>
      <c r="E70" s="255" t="s">
        <v>296</v>
      </c>
    </row>
    <row r="71" spans="1:5" ht="12.75">
      <c r="A71"/>
      <c r="B71" s="251">
        <v>54746.99683058493</v>
      </c>
      <c r="C71" s="188">
        <f t="shared" si="3"/>
        <v>71.41987454249717</v>
      </c>
      <c r="D71" s="252" t="s">
        <v>221</v>
      </c>
      <c r="E71" s="255" t="s">
        <v>296</v>
      </c>
    </row>
    <row r="72" spans="1:5" ht="12.75">
      <c r="A72"/>
      <c r="B72" s="251">
        <v>170457.1107557355</v>
      </c>
      <c r="C72" s="188">
        <f t="shared" si="3"/>
        <v>222.36882696458775</v>
      </c>
      <c r="D72" s="252" t="s">
        <v>230</v>
      </c>
      <c r="E72" s="255" t="s">
        <v>296</v>
      </c>
    </row>
    <row r="73" spans="1:5" ht="12.75">
      <c r="A73"/>
      <c r="B73" s="251"/>
      <c r="C73" s="188"/>
      <c r="D73" s="252"/>
      <c r="E73" s="255"/>
    </row>
    <row r="74" spans="1:5" ht="12.75">
      <c r="A74"/>
      <c r="B74" s="251">
        <v>24714.001070192106</v>
      </c>
      <c r="C74" s="188">
        <f t="shared" si="3"/>
        <v>32.24050556304099</v>
      </c>
      <c r="D74" s="252" t="s">
        <v>203</v>
      </c>
      <c r="E74" s="255" t="s">
        <v>295</v>
      </c>
    </row>
    <row r="75" spans="1:5" ht="12.75">
      <c r="A75"/>
      <c r="B75" s="251">
        <v>25793.989545046403</v>
      </c>
      <c r="C75" s="188">
        <f t="shared" si="3"/>
        <v>33.64939821189485</v>
      </c>
      <c r="D75" s="252" t="s">
        <v>205</v>
      </c>
      <c r="E75" s="255" t="s">
        <v>295</v>
      </c>
    </row>
    <row r="76" spans="1:5" ht="12.75">
      <c r="A76"/>
      <c r="B76" s="251">
        <v>46462.49296828908</v>
      </c>
      <c r="C76" s="188">
        <f t="shared" si="3"/>
        <v>60.612373478594854</v>
      </c>
      <c r="D76" s="252" t="s">
        <v>216</v>
      </c>
      <c r="E76" s="255" t="s">
        <v>295</v>
      </c>
    </row>
    <row r="77" spans="1:5" ht="12.75">
      <c r="A77"/>
      <c r="B77" s="251">
        <v>46656.01251301533</v>
      </c>
      <c r="C77" s="188">
        <f t="shared" si="3"/>
        <v>60.86482826892134</v>
      </c>
      <c r="D77" s="252" t="s">
        <v>217</v>
      </c>
      <c r="E77" s="255" t="s">
        <v>295</v>
      </c>
    </row>
    <row r="78" spans="1:5" ht="12.75">
      <c r="A78"/>
      <c r="B78" s="251"/>
      <c r="C78" s="188"/>
      <c r="D78" s="252"/>
      <c r="E78" s="255"/>
    </row>
    <row r="79" spans="1:5" ht="12.75">
      <c r="A79"/>
      <c r="B79" s="251">
        <v>229169.01519459355</v>
      </c>
      <c r="C79" s="188"/>
      <c r="D79" s="252" t="s">
        <v>231</v>
      </c>
      <c r="E79" s="255" t="s">
        <v>297</v>
      </c>
    </row>
    <row r="80" spans="1:5" ht="12.75">
      <c r="A80"/>
      <c r="B80" s="251"/>
      <c r="C80" s="188"/>
      <c r="D80" s="252"/>
      <c r="E80" s="255"/>
    </row>
    <row r="81" spans="1:5" ht="12.75">
      <c r="A81"/>
      <c r="B81" s="251">
        <v>12916.39543445683</v>
      </c>
      <c r="C81" s="188">
        <f aca="true" t="shared" si="4" ref="C81:C99">B81/$B$102*$G$7</f>
        <v>16.850008126013474</v>
      </c>
      <c r="D81" s="252" t="s">
        <v>202</v>
      </c>
      <c r="E81" s="255" t="s">
        <v>294</v>
      </c>
    </row>
    <row r="82" spans="1:5" ht="12.75">
      <c r="A82"/>
      <c r="B82" s="251">
        <v>12916.39543445683</v>
      </c>
      <c r="C82" s="188">
        <f t="shared" si="4"/>
        <v>16.850008126013474</v>
      </c>
      <c r="D82" s="252" t="s">
        <v>201</v>
      </c>
      <c r="E82" s="255" t="s">
        <v>294</v>
      </c>
    </row>
    <row r="83" spans="1:5" ht="12.75">
      <c r="A83"/>
      <c r="B83" s="251">
        <v>25793.989545046403</v>
      </c>
      <c r="C83" s="188">
        <f t="shared" si="4"/>
        <v>33.64939821189485</v>
      </c>
      <c r="D83" s="252" t="s">
        <v>204</v>
      </c>
      <c r="E83" s="255" t="s">
        <v>294</v>
      </c>
    </row>
    <row r="84" spans="1:5" ht="12.75">
      <c r="A84"/>
      <c r="B84" s="251">
        <v>31752.00691508742</v>
      </c>
      <c r="C84" s="188">
        <f t="shared" si="4"/>
        <v>41.421894928146266</v>
      </c>
      <c r="D84" s="252" t="s">
        <v>180</v>
      </c>
      <c r="E84" s="255" t="s">
        <v>294</v>
      </c>
    </row>
    <row r="85" spans="1:5" ht="12.75">
      <c r="A85"/>
      <c r="B85" s="251">
        <v>33264.0072443773</v>
      </c>
      <c r="C85" s="188">
        <f t="shared" si="4"/>
        <v>43.39436611520087</v>
      </c>
      <c r="D85" s="252" t="s">
        <v>209</v>
      </c>
      <c r="E85" s="255" t="s">
        <v>294</v>
      </c>
    </row>
    <row r="86" spans="1:5" ht="12.75">
      <c r="A86"/>
      <c r="B86" s="251">
        <v>41816.24367146017</v>
      </c>
      <c r="C86" s="188">
        <f t="shared" si="4"/>
        <v>54.55113613073537</v>
      </c>
      <c r="D86" s="252" t="s">
        <v>212</v>
      </c>
      <c r="E86" s="255" t="s">
        <v>294</v>
      </c>
    </row>
    <row r="87" spans="1:5" ht="12.75">
      <c r="A87"/>
      <c r="B87" s="251">
        <v>42014.23767106686</v>
      </c>
      <c r="C87" s="188">
        <f t="shared" si="4"/>
        <v>54.8094280450085</v>
      </c>
      <c r="D87" s="252" t="s">
        <v>213</v>
      </c>
      <c r="E87" s="255" t="s">
        <v>294</v>
      </c>
    </row>
    <row r="88" spans="1:5" ht="12.75">
      <c r="A88"/>
      <c r="B88" s="251">
        <v>43224.30982518672</v>
      </c>
      <c r="C88" s="188">
        <f t="shared" si="4"/>
        <v>56.388020596889426</v>
      </c>
      <c r="D88" s="252" t="s">
        <v>214</v>
      </c>
      <c r="E88" s="255" t="s">
        <v>294</v>
      </c>
    </row>
    <row r="89" spans="1:5" ht="12.75">
      <c r="A89"/>
      <c r="B89" s="251">
        <v>50219.99917677531</v>
      </c>
      <c r="C89" s="188">
        <f t="shared" si="4"/>
        <v>65.51420622812786</v>
      </c>
      <c r="D89" s="252" t="s">
        <v>218</v>
      </c>
      <c r="E89" s="255" t="s">
        <v>294</v>
      </c>
    </row>
    <row r="90" spans="1:5" ht="12.75">
      <c r="A90"/>
      <c r="B90" s="251">
        <v>52145.98822788689</v>
      </c>
      <c r="C90" s="188">
        <f t="shared" si="4"/>
        <v>68.0267439811351</v>
      </c>
      <c r="D90" s="252" t="s">
        <v>219</v>
      </c>
      <c r="E90" s="255" t="s">
        <v>294</v>
      </c>
    </row>
    <row r="91" spans="1:5" ht="12.75">
      <c r="A91"/>
      <c r="B91" s="251">
        <v>52969.496933488015</v>
      </c>
      <c r="C91" s="188">
        <f t="shared" si="4"/>
        <v>69.10104744696154</v>
      </c>
      <c r="D91" s="252" t="s">
        <v>220</v>
      </c>
      <c r="E91" s="255" t="s">
        <v>294</v>
      </c>
    </row>
    <row r="92" spans="1:5" ht="12.75">
      <c r="A92"/>
      <c r="B92" s="251">
        <v>54882.00293616808</v>
      </c>
      <c r="C92" s="188">
        <f t="shared" si="4"/>
        <v>71.59599596798937</v>
      </c>
      <c r="D92" s="252" t="s">
        <v>222</v>
      </c>
      <c r="E92" s="255" t="s">
        <v>294</v>
      </c>
    </row>
    <row r="93" spans="1:5" ht="12.75">
      <c r="A93"/>
      <c r="B93" s="251">
        <v>56940.064668873114</v>
      </c>
      <c r="C93" s="188">
        <f t="shared" si="4"/>
        <v>74.28082836537838</v>
      </c>
      <c r="D93" s="252" t="s">
        <v>223</v>
      </c>
      <c r="E93" s="255" t="s">
        <v>294</v>
      </c>
    </row>
    <row r="94" spans="1:5" ht="12.75">
      <c r="A94"/>
      <c r="B94" s="251">
        <v>61378.20619339378</v>
      </c>
      <c r="C94" s="188">
        <f t="shared" si="4"/>
        <v>80.07057993593456</v>
      </c>
      <c r="D94" s="252" t="s">
        <v>224</v>
      </c>
      <c r="E94" s="255" t="s">
        <v>294</v>
      </c>
    </row>
    <row r="95" spans="1:5" ht="12.75">
      <c r="A95"/>
      <c r="B95" s="251">
        <v>62635.95632030758</v>
      </c>
      <c r="C95" s="188">
        <f t="shared" si="4"/>
        <v>81.71137050839222</v>
      </c>
      <c r="D95" s="252" t="s">
        <v>225</v>
      </c>
      <c r="E95" s="255" t="s">
        <v>294</v>
      </c>
    </row>
    <row r="96" spans="1:5" ht="12.75">
      <c r="A96"/>
      <c r="B96" s="251">
        <v>121236.10846442678</v>
      </c>
      <c r="C96" s="188">
        <f t="shared" si="4"/>
        <v>158.15785628103515</v>
      </c>
      <c r="D96" s="252" t="s">
        <v>226</v>
      </c>
      <c r="E96" s="255" t="s">
        <v>294</v>
      </c>
    </row>
    <row r="97" spans="1:5" ht="12.75">
      <c r="A97"/>
      <c r="B97" s="251">
        <v>130901.6856287836</v>
      </c>
      <c r="C97" s="188">
        <f t="shared" si="4"/>
        <v>170.7670284443115</v>
      </c>
      <c r="D97" s="252" t="s">
        <v>227</v>
      </c>
      <c r="E97" s="255" t="s">
        <v>294</v>
      </c>
    </row>
    <row r="98" spans="1:5" ht="12.75">
      <c r="A98"/>
      <c r="B98" s="251">
        <v>136342.6273368529</v>
      </c>
      <c r="C98" s="188">
        <f t="shared" si="4"/>
        <v>177.86497712971334</v>
      </c>
      <c r="D98" s="252" t="s">
        <v>228</v>
      </c>
      <c r="E98" s="255" t="s">
        <v>294</v>
      </c>
    </row>
    <row r="99" spans="1:5" ht="12.75">
      <c r="A99"/>
      <c r="B99" s="251">
        <v>141832.62774846522</v>
      </c>
      <c r="C99" s="188">
        <f t="shared" si="4"/>
        <v>185.02692505991584</v>
      </c>
      <c r="D99" s="252" t="s">
        <v>229</v>
      </c>
      <c r="E99" s="255" t="s">
        <v>294</v>
      </c>
    </row>
    <row r="100" spans="1:4" ht="12.75">
      <c r="A100"/>
      <c r="B100" s="253">
        <f>SUM(B64:B99)</f>
        <v>2021692.977893368</v>
      </c>
      <c r="D100"/>
    </row>
    <row r="101" spans="1:4" ht="12.75">
      <c r="A101" s="256" t="s">
        <v>298</v>
      </c>
      <c r="B101" s="256" t="s">
        <v>299</v>
      </c>
      <c r="C101" s="254">
        <f>SUM(C64:C99)</f>
        <v>2338.42665245239</v>
      </c>
      <c r="D101"/>
    </row>
    <row r="102" spans="1:4" ht="12.75">
      <c r="A102" s="266" t="s">
        <v>300</v>
      </c>
      <c r="B102" s="256">
        <f>B100-B79</f>
        <v>1792523.9626987746</v>
      </c>
      <c r="C102" s="265"/>
      <c r="D102"/>
    </row>
    <row r="103" spans="1:4" ht="12.75">
      <c r="A103" s="266" t="s">
        <v>315</v>
      </c>
      <c r="B103" s="256"/>
      <c r="C103" s="285">
        <f>SUM(C81:C99)</f>
        <v>1520.0318196287972</v>
      </c>
      <c r="D103"/>
    </row>
    <row r="104" spans="1:4" ht="12.75">
      <c r="A104" s="267" t="s">
        <v>316</v>
      </c>
      <c r="B104" s="256"/>
      <c r="C104" s="285">
        <f>SUM(C64:C72)</f>
        <v>631.0277273011411</v>
      </c>
      <c r="D104"/>
    </row>
    <row r="105" spans="1:7" ht="12.75">
      <c r="A105" s="267" t="s">
        <v>317</v>
      </c>
      <c r="B105" s="256"/>
      <c r="C105" s="285">
        <f>SUM(C74:C77)</f>
        <v>187.36710552245205</v>
      </c>
      <c r="D105"/>
      <c r="G105" s="495"/>
    </row>
    <row r="106" spans="1:4" ht="12.75">
      <c r="A106"/>
      <c r="B106" s="256"/>
      <c r="C106" s="265"/>
      <c r="D106"/>
    </row>
    <row r="107" spans="1:4" ht="15">
      <c r="A107" s="250" t="s">
        <v>232</v>
      </c>
      <c r="B107"/>
      <c r="C107"/>
      <c r="D107"/>
    </row>
    <row r="108" spans="1:4" ht="12.75">
      <c r="A108"/>
      <c r="B108" s="251">
        <v>31752.00691508742</v>
      </c>
      <c r="C108" s="188">
        <f aca="true" t="shared" si="5" ref="C108:C119">B108/$B$120*$G$8</f>
        <v>35.27407372937958</v>
      </c>
      <c r="D108" s="252" t="s">
        <v>233</v>
      </c>
    </row>
    <row r="109" spans="1:4" ht="12.75">
      <c r="A109"/>
      <c r="B109" s="251">
        <v>31752.006915087426</v>
      </c>
      <c r="C109" s="188">
        <f t="shared" si="5"/>
        <v>35.27407372937959</v>
      </c>
      <c r="D109" s="252" t="s">
        <v>234</v>
      </c>
    </row>
    <row r="110" spans="1:4" ht="12.75">
      <c r="A110"/>
      <c r="B110" s="251">
        <v>31878.00694252824</v>
      </c>
      <c r="C110" s="188">
        <f t="shared" si="5"/>
        <v>35.41405021243268</v>
      </c>
      <c r="D110" s="252" t="s">
        <v>235</v>
      </c>
    </row>
    <row r="111" spans="1:4" ht="12.75">
      <c r="A111"/>
      <c r="B111" s="251">
        <v>33264.0072443773</v>
      </c>
      <c r="C111" s="188">
        <f t="shared" si="5"/>
        <v>36.953791526016715</v>
      </c>
      <c r="D111" s="252" t="s">
        <v>236</v>
      </c>
    </row>
    <row r="112" spans="1:4" ht="12.75">
      <c r="A112"/>
      <c r="B112" s="251">
        <v>46656.01251301533</v>
      </c>
      <c r="C112" s="188">
        <f t="shared" si="5"/>
        <v>51.83129462348909</v>
      </c>
      <c r="D112" s="252" t="s">
        <v>237</v>
      </c>
    </row>
    <row r="113" spans="1:4" ht="12.75">
      <c r="A113"/>
      <c r="B113" s="251">
        <v>47044.81261729046</v>
      </c>
      <c r="C113" s="188">
        <f t="shared" si="5"/>
        <v>52.263222078684834</v>
      </c>
      <c r="D113" s="252" t="s">
        <v>238</v>
      </c>
    </row>
    <row r="114" spans="1:4" ht="12.75">
      <c r="A114"/>
      <c r="B114" s="251">
        <v>52649.986965609016</v>
      </c>
      <c r="C114" s="188">
        <f t="shared" si="5"/>
        <v>58.49014605729696</v>
      </c>
      <c r="D114" s="252" t="s">
        <v>239</v>
      </c>
    </row>
    <row r="115" spans="1:4" ht="12.75">
      <c r="A115"/>
      <c r="B115" s="251">
        <v>61553.7604599082</v>
      </c>
      <c r="C115" s="188">
        <f t="shared" si="5"/>
        <v>68.38156374146132</v>
      </c>
      <c r="D115" s="252" t="s">
        <v>240</v>
      </c>
    </row>
    <row r="116" spans="1:4" ht="12.75">
      <c r="A116"/>
      <c r="B116" s="251">
        <v>97564.33866854079</v>
      </c>
      <c r="C116" s="188">
        <f t="shared" si="5"/>
        <v>108.38658749211197</v>
      </c>
      <c r="D116" s="252" t="s">
        <v>241</v>
      </c>
    </row>
    <row r="117" spans="1:4" ht="12.75">
      <c r="A117"/>
      <c r="B117" s="251">
        <v>104182.49900527018</v>
      </c>
      <c r="C117" s="188">
        <f t="shared" si="5"/>
        <v>115.73886214659125</v>
      </c>
      <c r="D117" s="252" t="s">
        <v>242</v>
      </c>
    </row>
    <row r="118" spans="1:4" ht="12.75">
      <c r="A118"/>
      <c r="B118" s="251">
        <v>124117.45869012756</v>
      </c>
      <c r="C118" s="188">
        <f t="shared" si="5"/>
        <v>137.88509181945452</v>
      </c>
      <c r="D118" s="252" t="s">
        <v>243</v>
      </c>
    </row>
    <row r="119" spans="1:12" ht="12.75">
      <c r="A119"/>
      <c r="B119" s="251">
        <v>190729.60239771818</v>
      </c>
      <c r="C119" s="188">
        <f t="shared" si="5"/>
        <v>211.88613605886903</v>
      </c>
      <c r="D119" s="252" t="s">
        <v>244</v>
      </c>
      <c r="H119" s="245" t="s">
        <v>448</v>
      </c>
      <c r="I119" s="443" t="s">
        <v>446</v>
      </c>
      <c r="J119" s="443" t="s">
        <v>447</v>
      </c>
      <c r="K119" s="443" t="s">
        <v>446</v>
      </c>
      <c r="L119" s="443" t="s">
        <v>447</v>
      </c>
    </row>
    <row r="120" spans="1:10" ht="12.75">
      <c r="A120" s="253" t="s">
        <v>172</v>
      </c>
      <c r="B120" s="253">
        <f>SUM(B108:B119)</f>
        <v>853144.4993345602</v>
      </c>
      <c r="C120" s="253"/>
      <c r="D120"/>
      <c r="H120" s="245" t="s">
        <v>449</v>
      </c>
      <c r="I120" s="245">
        <v>4</v>
      </c>
      <c r="J120" s="245">
        <v>8</v>
      </c>
    </row>
    <row r="121" spans="1:12" ht="12.75">
      <c r="A121"/>
      <c r="B121" s="256" t="s">
        <v>413</v>
      </c>
      <c r="C121" s="432">
        <f>SUM(C108:C119)</f>
        <v>947.7788932151675</v>
      </c>
      <c r="D121"/>
      <c r="F121" t="s">
        <v>441</v>
      </c>
      <c r="I121" s="437">
        <v>2.5</v>
      </c>
      <c r="J121" s="442">
        <v>1.25</v>
      </c>
      <c r="K121" s="442">
        <f>I121/$I$120</f>
        <v>0.625</v>
      </c>
      <c r="L121" s="442">
        <f>J121/$J$120</f>
        <v>0.15625</v>
      </c>
    </row>
    <row r="122" spans="1:12" ht="12.75">
      <c r="A122"/>
      <c r="B122" s="440" t="s">
        <v>445</v>
      </c>
      <c r="C122" s="285">
        <f>SUM(C108:C114)+C117</f>
        <v>421.2395141032707</v>
      </c>
      <c r="D122"/>
      <c r="F122" t="s">
        <v>442</v>
      </c>
      <c r="I122" s="437">
        <v>0.75</v>
      </c>
      <c r="J122" s="442">
        <v>3.75</v>
      </c>
      <c r="K122" s="442">
        <f>I122/$I$120</f>
        <v>0.1875</v>
      </c>
      <c r="L122" s="442">
        <f>J122/$J$120</f>
        <v>0.46875</v>
      </c>
    </row>
    <row r="123" spans="1:12" ht="12.75">
      <c r="A123"/>
      <c r="B123" s="265" t="s">
        <v>444</v>
      </c>
      <c r="C123" s="285">
        <f>SUM(C118:C119)+SUM(C115:C116)</f>
        <v>526.5393791118968</v>
      </c>
      <c r="D123"/>
      <c r="F123" t="s">
        <v>443</v>
      </c>
      <c r="I123" s="437">
        <v>0.25</v>
      </c>
      <c r="J123" s="442">
        <v>3</v>
      </c>
      <c r="K123" s="442">
        <f>I123/$I$120</f>
        <v>0.0625</v>
      </c>
      <c r="L123" s="442">
        <f>J123/$J$120</f>
        <v>0.375</v>
      </c>
    </row>
    <row r="124" spans="1:12" ht="12.75">
      <c r="A124"/>
      <c r="B124" s="265"/>
      <c r="C124" s="265"/>
      <c r="D124"/>
      <c r="F124" t="s">
        <v>66</v>
      </c>
      <c r="I124" s="437">
        <v>0.5</v>
      </c>
      <c r="J124" s="442">
        <v>0</v>
      </c>
      <c r="K124" s="442">
        <f>I124/$I$120</f>
        <v>0.125</v>
      </c>
      <c r="L124" s="442">
        <f>J124/$J$120</f>
        <v>0</v>
      </c>
    </row>
    <row r="125" spans="1:4" ht="15">
      <c r="A125" s="250" t="s">
        <v>245</v>
      </c>
      <c r="B125"/>
      <c r="C125"/>
      <c r="D125"/>
    </row>
    <row r="126" spans="1:10" ht="12.75">
      <c r="A126"/>
      <c r="B126" s="251">
        <v>29657.256458883738</v>
      </c>
      <c r="C126" s="188">
        <f>B126/$B$136*$G$14-5</f>
        <v>29.01127427859243</v>
      </c>
      <c r="D126" s="252" t="s">
        <v>246</v>
      </c>
      <c r="I126" s="441"/>
      <c r="J126" s="441"/>
    </row>
    <row r="127" spans="1:4" ht="12.75">
      <c r="A127"/>
      <c r="B127" s="251">
        <v>31752.006915087426</v>
      </c>
      <c r="C127" s="188">
        <f>B127/$B$136*$G$14-5</f>
        <v>31.413557591950266</v>
      </c>
      <c r="D127" s="252" t="s">
        <v>247</v>
      </c>
    </row>
    <row r="128" spans="1:4" ht="12.75">
      <c r="A128"/>
      <c r="B128" s="251">
        <v>34776.00757366717</v>
      </c>
      <c r="C128" s="188">
        <f>B128/$B$136*$G$14-5</f>
        <v>34.881515457850284</v>
      </c>
      <c r="D128" s="252" t="s">
        <v>248</v>
      </c>
    </row>
    <row r="129" spans="1:4" ht="12.75">
      <c r="A129"/>
      <c r="B129" s="251">
        <v>37842.7514303529</v>
      </c>
      <c r="C129" s="188">
        <f>B129/$B$136*$G$14-5</f>
        <v>38.39849170265336</v>
      </c>
      <c r="D129" s="252" t="s">
        <v>249</v>
      </c>
    </row>
    <row r="130" spans="1:4" ht="12.75">
      <c r="A130"/>
      <c r="B130" s="251">
        <v>39690.013446003315</v>
      </c>
      <c r="C130" s="188">
        <f>B130/$B$136*$G$14-5</f>
        <v>40.516952497090465</v>
      </c>
      <c r="D130" s="252" t="s">
        <v>250</v>
      </c>
    </row>
    <row r="131" spans="1:4" ht="12.75">
      <c r="A131"/>
      <c r="B131" s="251">
        <v>97404.5768243955</v>
      </c>
      <c r="C131" s="188">
        <f>B131/$B$136*$G$14+5</f>
        <v>116.70466098095154</v>
      </c>
      <c r="D131" s="252" t="s">
        <v>251</v>
      </c>
    </row>
    <row r="132" spans="1:4" ht="12.75">
      <c r="A132"/>
      <c r="B132" s="251">
        <v>121641.12266505274</v>
      </c>
      <c r="C132" s="188">
        <f>B132/$B$136*$G$14+5</f>
        <v>144.49940353561394</v>
      </c>
      <c r="D132" s="252" t="s">
        <v>252</v>
      </c>
    </row>
    <row r="133" spans="1:4" ht="12.75">
      <c r="A133"/>
      <c r="B133" s="251">
        <v>136791.26078386238</v>
      </c>
      <c r="C133" s="188">
        <f>B133/$B$136*$G$14+5</f>
        <v>161.8737518213956</v>
      </c>
      <c r="D133" s="252" t="s">
        <v>253</v>
      </c>
    </row>
    <row r="134" spans="1:4" ht="12.75">
      <c r="A134"/>
      <c r="B134" s="251">
        <v>137260.08576019466</v>
      </c>
      <c r="C134" s="188">
        <f>B134/$B$136*$G$14+5</f>
        <v>162.4114055615788</v>
      </c>
      <c r="D134" s="252" t="s">
        <v>254</v>
      </c>
    </row>
    <row r="135" spans="1:4" ht="12.75">
      <c r="A135"/>
      <c r="B135" s="251">
        <v>152849.03431170032</v>
      </c>
      <c r="C135" s="188">
        <f>B135/$B$136*$G$14+5</f>
        <v>180.2889865723235</v>
      </c>
      <c r="D135" s="252" t="s">
        <v>255</v>
      </c>
    </row>
    <row r="136" spans="1:4" ht="12.75">
      <c r="A136" s="253" t="s">
        <v>172</v>
      </c>
      <c r="B136" s="253">
        <f>SUM(B126:B135)</f>
        <v>819664.1161692</v>
      </c>
      <c r="C136" s="253"/>
      <c r="D136"/>
    </row>
    <row r="137" spans="1:4" ht="13.5">
      <c r="A137"/>
      <c r="B137" s="256" t="s">
        <v>450</v>
      </c>
      <c r="C137" s="447">
        <f>SUM(C126:C136)</f>
        <v>940.0000000000002</v>
      </c>
      <c r="D137"/>
    </row>
    <row r="138" spans="1:4" ht="13.5">
      <c r="A138"/>
      <c r="B138" s="256" t="s">
        <v>451</v>
      </c>
      <c r="C138" s="448">
        <f>AVERAGE(C126:C130)+1</f>
        <v>35.84435830562736</v>
      </c>
      <c r="D138"/>
    </row>
    <row r="139" spans="1:4" ht="13.5">
      <c r="A139"/>
      <c r="B139" s="256" t="s">
        <v>452</v>
      </c>
      <c r="C139" s="448">
        <f>AVERAGE(C130:C135)+18</f>
        <v>152.38252682815894</v>
      </c>
      <c r="D139"/>
    </row>
    <row r="140" spans="1:4" ht="12.75">
      <c r="A140"/>
      <c r="B140" s="256"/>
      <c r="C140" s="265"/>
      <c r="D140"/>
    </row>
    <row r="141" spans="1:4" ht="15">
      <c r="A141" s="250" t="s">
        <v>256</v>
      </c>
      <c r="B141"/>
      <c r="C141"/>
      <c r="D141"/>
    </row>
    <row r="142" spans="1:5" ht="12.75">
      <c r="A142"/>
      <c r="B142" s="251">
        <v>24714.001070192106</v>
      </c>
      <c r="C142" s="188">
        <f aca="true" t="shared" si="6" ref="C142:C151">B142/$B$177*$G$9</f>
        <v>31.448183308939733</v>
      </c>
      <c r="D142" s="252" t="s">
        <v>301</v>
      </c>
      <c r="E142" s="255" t="s">
        <v>155</v>
      </c>
    </row>
    <row r="143" spans="1:5" ht="12.75">
      <c r="A143"/>
      <c r="B143" s="251">
        <v>24714.001070192106</v>
      </c>
      <c r="C143" s="188">
        <f t="shared" si="6"/>
        <v>31.448183308939733</v>
      </c>
      <c r="D143" s="252" t="s">
        <v>259</v>
      </c>
      <c r="E143" s="255" t="s">
        <v>155</v>
      </c>
    </row>
    <row r="144" spans="1:5" ht="12.75">
      <c r="A144"/>
      <c r="B144" s="251">
        <v>24714.001070192106</v>
      </c>
      <c r="C144" s="188">
        <f t="shared" si="6"/>
        <v>31.448183308939733</v>
      </c>
      <c r="D144" s="252" t="s">
        <v>260</v>
      </c>
      <c r="E144" s="255" t="s">
        <v>155</v>
      </c>
    </row>
    <row r="145" spans="1:5" ht="12.75">
      <c r="A145"/>
      <c r="B145" s="251">
        <v>24714.001070192106</v>
      </c>
      <c r="C145" s="188">
        <f t="shared" si="6"/>
        <v>31.448183308939733</v>
      </c>
      <c r="D145" s="252" t="s">
        <v>262</v>
      </c>
      <c r="E145" s="255" t="s">
        <v>155</v>
      </c>
    </row>
    <row r="146" spans="1:5" ht="12.75">
      <c r="A146"/>
      <c r="B146" s="251">
        <v>25816.791039656568</v>
      </c>
      <c r="C146" s="188">
        <f t="shared" si="6"/>
        <v>32.85146645246955</v>
      </c>
      <c r="D146" s="252" t="s">
        <v>263</v>
      </c>
      <c r="E146" s="255" t="s">
        <v>155</v>
      </c>
    </row>
    <row r="147" spans="1:5" ht="12.75">
      <c r="A147"/>
      <c r="B147" s="251">
        <v>26129.090931265317</v>
      </c>
      <c r="C147" s="188">
        <f t="shared" si="6"/>
        <v>33.248863224072004</v>
      </c>
      <c r="D147" s="252" t="s">
        <v>264</v>
      </c>
      <c r="E147" s="255" t="s">
        <v>155</v>
      </c>
    </row>
    <row r="148" spans="1:5" ht="12.75">
      <c r="A148"/>
      <c r="B148" s="251">
        <v>31752.006915087426</v>
      </c>
      <c r="C148" s="188">
        <f t="shared" si="6"/>
        <v>40.403936661504304</v>
      </c>
      <c r="D148" s="252" t="s">
        <v>266</v>
      </c>
      <c r="E148" s="255" t="s">
        <v>155</v>
      </c>
    </row>
    <row r="149" spans="1:5" ht="12.75">
      <c r="A149"/>
      <c r="B149" s="251">
        <v>32256.007024850718</v>
      </c>
      <c r="C149" s="188">
        <f t="shared" si="6"/>
        <v>41.04526898946469</v>
      </c>
      <c r="D149" s="252" t="s">
        <v>267</v>
      </c>
      <c r="E149" s="255" t="s">
        <v>155</v>
      </c>
    </row>
    <row r="150" spans="1:5" ht="12.75">
      <c r="A150"/>
      <c r="B150" s="251">
        <f>48988.813138666*0.67</f>
        <v>32822.50480290622</v>
      </c>
      <c r="C150" s="188">
        <f t="shared" si="6"/>
        <v>41.766128631648805</v>
      </c>
      <c r="D150" s="268" t="s">
        <v>306</v>
      </c>
      <c r="E150" s="255" t="s">
        <v>155</v>
      </c>
    </row>
    <row r="151" spans="1:5" ht="12.75">
      <c r="A151"/>
      <c r="B151" s="251">
        <v>57996.01498268942</v>
      </c>
      <c r="C151" s="188">
        <f t="shared" si="6"/>
        <v>73.79903016041484</v>
      </c>
      <c r="D151" s="252" t="s">
        <v>268</v>
      </c>
      <c r="E151" s="255" t="s">
        <v>155</v>
      </c>
    </row>
    <row r="152" spans="1:5" ht="12.75">
      <c r="A152"/>
      <c r="B152" s="251"/>
      <c r="C152" s="188"/>
      <c r="D152" s="252"/>
      <c r="E152" s="255"/>
    </row>
    <row r="153" spans="1:5" ht="12.75">
      <c r="A153"/>
      <c r="B153" s="251">
        <f>48988.813138666*0.33</f>
        <v>16166.30833575978</v>
      </c>
      <c r="C153" s="188"/>
      <c r="D153" s="268" t="s">
        <v>307</v>
      </c>
      <c r="E153" s="255" t="s">
        <v>297</v>
      </c>
    </row>
    <row r="154" spans="1:5" ht="12.75">
      <c r="A154"/>
      <c r="B154" s="251">
        <v>74501.83472392245</v>
      </c>
      <c r="C154" s="188"/>
      <c r="D154" s="252" t="s">
        <v>270</v>
      </c>
      <c r="E154" s="255" t="s">
        <v>297</v>
      </c>
    </row>
    <row r="155" spans="1:5" ht="12.75">
      <c r="A155"/>
      <c r="B155" s="251">
        <v>198884.01434850146</v>
      </c>
      <c r="C155" s="188"/>
      <c r="D155" s="252" t="s">
        <v>280</v>
      </c>
      <c r="E155" s="255" t="s">
        <v>297</v>
      </c>
    </row>
    <row r="156" spans="1:5" ht="12.75">
      <c r="A156"/>
      <c r="B156" s="251"/>
      <c r="C156" s="188"/>
      <c r="D156" s="252"/>
      <c r="E156" s="255"/>
    </row>
    <row r="157" spans="1:5" ht="12.75">
      <c r="A157"/>
      <c r="B157" s="251">
        <v>24714.001070192106</v>
      </c>
      <c r="C157" s="188">
        <f aca="true" t="shared" si="7" ref="C157:C162">B157/$B$177*$G$9</f>
        <v>31.448183308939733</v>
      </c>
      <c r="D157" s="252" t="s">
        <v>257</v>
      </c>
      <c r="E157" s="255" t="s">
        <v>152</v>
      </c>
    </row>
    <row r="158" spans="1:5" ht="12.75">
      <c r="A158"/>
      <c r="B158" s="251">
        <v>24714.001070192106</v>
      </c>
      <c r="C158" s="188">
        <f t="shared" si="7"/>
        <v>31.448183308939733</v>
      </c>
      <c r="D158" s="252" t="s">
        <v>302</v>
      </c>
      <c r="E158" s="255" t="s">
        <v>152</v>
      </c>
    </row>
    <row r="159" spans="1:5" ht="12.75">
      <c r="A159"/>
      <c r="B159" s="251">
        <v>24714.001070192106</v>
      </c>
      <c r="C159" s="188">
        <f t="shared" si="7"/>
        <v>31.448183308939733</v>
      </c>
      <c r="D159" s="252" t="s">
        <v>258</v>
      </c>
      <c r="E159" s="255" t="s">
        <v>152</v>
      </c>
    </row>
    <row r="160" spans="1:5" ht="12.75">
      <c r="A160"/>
      <c r="B160" s="251">
        <v>24714.001070192106</v>
      </c>
      <c r="C160" s="188">
        <f t="shared" si="7"/>
        <v>31.448183308939733</v>
      </c>
      <c r="D160" s="252" t="s">
        <v>261</v>
      </c>
      <c r="E160" s="255" t="s">
        <v>152</v>
      </c>
    </row>
    <row r="161" spans="1:5" ht="12.75">
      <c r="A161"/>
      <c r="B161" s="251">
        <v>28076.39921519246</v>
      </c>
      <c r="C161" s="188">
        <f t="shared" si="7"/>
        <v>35.726782833204794</v>
      </c>
      <c r="D161" s="252" t="s">
        <v>265</v>
      </c>
      <c r="E161" s="255" t="s">
        <v>152</v>
      </c>
    </row>
    <row r="162" spans="1:5" ht="12.75">
      <c r="A162"/>
      <c r="B162" s="251">
        <v>31752.006915087426</v>
      </c>
      <c r="C162" s="188">
        <f t="shared" si="7"/>
        <v>40.403936661504304</v>
      </c>
      <c r="D162" s="252" t="s">
        <v>235</v>
      </c>
      <c r="E162" s="255" t="s">
        <v>152</v>
      </c>
    </row>
    <row r="163" spans="1:5" ht="12.75">
      <c r="A163"/>
      <c r="B163" s="251"/>
      <c r="C163" s="188"/>
      <c r="D163" s="252"/>
      <c r="E163" s="255"/>
    </row>
    <row r="164" spans="1:5" ht="12.75">
      <c r="A164"/>
      <c r="B164" s="251">
        <v>74507.70706006643</v>
      </c>
      <c r="C164" s="188">
        <f aca="true" t="shared" si="8" ref="C164:C174">B164/$B$177*$G$9</f>
        <v>94.80990240709488</v>
      </c>
      <c r="D164" s="252" t="s">
        <v>302</v>
      </c>
      <c r="E164" s="255" t="s">
        <v>154</v>
      </c>
    </row>
    <row r="165" spans="1:5" ht="12.75">
      <c r="A165"/>
      <c r="B165" s="251">
        <v>65858.40352340169</v>
      </c>
      <c r="C165" s="188">
        <f t="shared" si="8"/>
        <v>83.80379771594627</v>
      </c>
      <c r="D165" s="252" t="s">
        <v>269</v>
      </c>
      <c r="E165" s="255" t="s">
        <v>154</v>
      </c>
    </row>
    <row r="166" spans="1:5" ht="12.75">
      <c r="A166"/>
      <c r="B166" s="251">
        <v>74507.70706006643</v>
      </c>
      <c r="C166" s="188">
        <f t="shared" si="8"/>
        <v>94.80990240709488</v>
      </c>
      <c r="D166" s="252" t="s">
        <v>271</v>
      </c>
      <c r="E166" s="255" t="s">
        <v>154</v>
      </c>
    </row>
    <row r="167" spans="1:5" ht="12.75">
      <c r="A167"/>
      <c r="B167" s="251">
        <v>81685.18500450486</v>
      </c>
      <c r="C167" s="188">
        <f t="shared" si="8"/>
        <v>103.94313184459031</v>
      </c>
      <c r="D167" s="252" t="s">
        <v>272</v>
      </c>
      <c r="E167" s="255" t="s">
        <v>154</v>
      </c>
    </row>
    <row r="168" spans="1:5" ht="12.75">
      <c r="A168"/>
      <c r="B168" s="251">
        <v>82805.70220304075</v>
      </c>
      <c r="C168" s="188">
        <f t="shared" si="8"/>
        <v>105.36897261235161</v>
      </c>
      <c r="D168" s="252" t="s">
        <v>273</v>
      </c>
      <c r="E168" s="255" t="s">
        <v>154</v>
      </c>
    </row>
    <row r="169" spans="1:5" ht="12.75">
      <c r="A169"/>
      <c r="B169" s="251">
        <v>85128.82742313901</v>
      </c>
      <c r="C169" s="188">
        <f t="shared" si="8"/>
        <v>108.3251134478146</v>
      </c>
      <c r="D169" s="252" t="s">
        <v>274</v>
      </c>
      <c r="E169" s="255" t="s">
        <v>154</v>
      </c>
    </row>
    <row r="170" spans="1:5" ht="12.75">
      <c r="A170"/>
      <c r="B170" s="251">
        <v>85505.68711058804</v>
      </c>
      <c r="C170" s="188">
        <f t="shared" si="8"/>
        <v>108.80466155898391</v>
      </c>
      <c r="D170" s="252" t="s">
        <v>275</v>
      </c>
      <c r="E170" s="255" t="s">
        <v>154</v>
      </c>
    </row>
    <row r="171" spans="1:5" ht="12.75">
      <c r="A171"/>
      <c r="B171" s="251">
        <v>88593.81182760453</v>
      </c>
      <c r="C171" s="188">
        <f t="shared" si="8"/>
        <v>112.73425239722074</v>
      </c>
      <c r="D171" s="252" t="s">
        <v>276</v>
      </c>
      <c r="E171" s="255" t="s">
        <v>154</v>
      </c>
    </row>
    <row r="172" spans="1:5" ht="12.75">
      <c r="A172"/>
      <c r="B172" s="251">
        <v>113722.61901313653</v>
      </c>
      <c r="C172" s="188">
        <f t="shared" si="8"/>
        <v>144.710270058673</v>
      </c>
      <c r="D172" s="252" t="s">
        <v>277</v>
      </c>
      <c r="E172" s="255" t="s">
        <v>154</v>
      </c>
    </row>
    <row r="173" spans="1:5" ht="12.75">
      <c r="A173"/>
      <c r="B173" s="251">
        <v>125595.4862513854</v>
      </c>
      <c r="C173" s="188">
        <f t="shared" si="8"/>
        <v>159.81830959669398</v>
      </c>
      <c r="D173" s="252" t="s">
        <v>278</v>
      </c>
      <c r="E173" s="255" t="s">
        <v>154</v>
      </c>
    </row>
    <row r="174" spans="1:5" ht="12.75">
      <c r="A174"/>
      <c r="B174" s="251">
        <v>125962.60273158149</v>
      </c>
      <c r="C174" s="188">
        <f t="shared" si="8"/>
        <v>160.28545962764807</v>
      </c>
      <c r="D174" s="252" t="s">
        <v>279</v>
      </c>
      <c r="E174" s="255" t="s">
        <v>154</v>
      </c>
    </row>
    <row r="175" spans="1:4" ht="12.75">
      <c r="A175" s="256" t="s">
        <v>303</v>
      </c>
      <c r="B175" s="253">
        <f>SUM(B142:B174)</f>
        <v>1757738.727004971</v>
      </c>
      <c r="D175"/>
    </row>
    <row r="176" spans="1:4" ht="12.75">
      <c r="A176"/>
      <c r="B176" s="256" t="s">
        <v>304</v>
      </c>
      <c r="C176" s="254">
        <f>SUM(C142:C174)</f>
        <v>1868.2446537599135</v>
      </c>
      <c r="D176"/>
    </row>
    <row r="177" spans="1:4" ht="12.75">
      <c r="A177" s="267" t="s">
        <v>305</v>
      </c>
      <c r="B177" s="256">
        <f>B175-B154-B155-B153</f>
        <v>1468186.5695967874</v>
      </c>
      <c r="C177" s="265"/>
      <c r="D177"/>
    </row>
    <row r="178" spans="1:4" ht="12.75">
      <c r="A178"/>
      <c r="B178"/>
      <c r="C178"/>
      <c r="D178"/>
    </row>
    <row r="179" spans="1:3" ht="12.75">
      <c r="A179" s="260" t="s">
        <v>310</v>
      </c>
      <c r="C179" s="194">
        <f>SUM(C142:C151)</f>
        <v>388.9074273553332</v>
      </c>
    </row>
    <row r="180" spans="1:3" ht="12.75">
      <c r="A180" s="261" t="s">
        <v>311</v>
      </c>
      <c r="C180" s="194">
        <f>SUM(C157:C162)</f>
        <v>201.92345273046803</v>
      </c>
    </row>
    <row r="181" spans="1:3" ht="12.75">
      <c r="A181" s="261" t="s">
        <v>312</v>
      </c>
      <c r="C181" s="194">
        <f>SUM(C164:C174)</f>
        <v>1277.4137736741122</v>
      </c>
    </row>
    <row r="183" ht="12.75">
      <c r="C183" s="194">
        <f>SUM(C179:C181)</f>
        <v>1868.2446537599135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23" sqref="G23"/>
    </sheetView>
  </sheetViews>
  <sheetFormatPr defaultColWidth="9.140625" defaultRowHeight="12.75"/>
  <cols>
    <col min="1" max="1" width="29.421875" style="202" customWidth="1"/>
    <col min="2" max="3" width="13.8515625" style="202" customWidth="1"/>
    <col min="4" max="4" width="13.8515625" style="210" customWidth="1"/>
    <col min="5" max="16384" width="9.140625" style="202" customWidth="1"/>
  </cols>
  <sheetData>
    <row r="1" spans="1:4" ht="13.5" customHeight="1">
      <c r="A1" s="200" t="s">
        <v>128</v>
      </c>
      <c r="B1" s="200" t="s">
        <v>129</v>
      </c>
      <c r="C1" s="200" t="s">
        <v>130</v>
      </c>
      <c r="D1" s="201" t="s">
        <v>131</v>
      </c>
    </row>
    <row r="2" spans="1:4" ht="13.5" customHeight="1">
      <c r="A2" s="203"/>
      <c r="B2" s="203"/>
      <c r="C2" s="203"/>
      <c r="D2" s="204" t="s">
        <v>141</v>
      </c>
    </row>
    <row r="3" spans="1:7" ht="13.5" customHeight="1">
      <c r="A3" s="203"/>
      <c r="B3" s="618">
        <v>2000</v>
      </c>
      <c r="C3" s="618"/>
      <c r="D3" s="618"/>
      <c r="E3" s="618"/>
      <c r="F3" s="246"/>
      <c r="G3" s="246">
        <v>2001</v>
      </c>
    </row>
    <row r="4" spans="1:4" ht="13.5" customHeight="1">
      <c r="A4" s="205" t="s">
        <v>132</v>
      </c>
      <c r="B4" s="206">
        <v>206.92</v>
      </c>
      <c r="C4" s="206">
        <v>-3084.5</v>
      </c>
      <c r="D4" s="207">
        <f aca="true" t="shared" si="0" ref="D4:D10">SUM(B4:C4)/1000</f>
        <v>-2.87758</v>
      </c>
    </row>
    <row r="5" spans="1:4" ht="13.5" customHeight="1">
      <c r="A5" s="205" t="s">
        <v>142</v>
      </c>
      <c r="B5" s="206">
        <v>3583.75</v>
      </c>
      <c r="C5" s="206">
        <v>3336.91</v>
      </c>
      <c r="D5" s="207">
        <f t="shared" si="0"/>
        <v>6.92066</v>
      </c>
    </row>
    <row r="6" spans="1:4" ht="13.5" customHeight="1">
      <c r="A6" s="205" t="s">
        <v>143</v>
      </c>
      <c r="B6" s="206">
        <v>7780.87</v>
      </c>
      <c r="C6" s="206">
        <v>6979.15</v>
      </c>
      <c r="D6" s="207">
        <f t="shared" si="0"/>
        <v>14.76002</v>
      </c>
    </row>
    <row r="7" spans="1:4" ht="13.5" customHeight="1">
      <c r="A7" s="205" t="s">
        <v>144</v>
      </c>
      <c r="B7" s="206" t="s">
        <v>132</v>
      </c>
      <c r="C7" s="206">
        <v>2075.02</v>
      </c>
      <c r="D7" s="207">
        <f t="shared" si="0"/>
        <v>2.07502</v>
      </c>
    </row>
    <row r="8" spans="1:4" ht="13.5" customHeight="1">
      <c r="A8" s="205" t="s">
        <v>145</v>
      </c>
      <c r="B8" s="206" t="s">
        <v>132</v>
      </c>
      <c r="C8" s="206">
        <v>1051.89</v>
      </c>
      <c r="D8" s="207">
        <f t="shared" si="0"/>
        <v>1.05189</v>
      </c>
    </row>
    <row r="9" spans="1:4" ht="13.5" customHeight="1">
      <c r="A9" s="205" t="s">
        <v>146</v>
      </c>
      <c r="B9" s="206" t="s">
        <v>132</v>
      </c>
      <c r="C9" s="206">
        <v>1258.66</v>
      </c>
      <c r="D9" s="207">
        <f t="shared" si="0"/>
        <v>1.2586600000000001</v>
      </c>
    </row>
    <row r="10" spans="1:4" ht="13.5" customHeight="1">
      <c r="A10" s="205" t="s">
        <v>147</v>
      </c>
      <c r="B10" s="206">
        <v>0</v>
      </c>
      <c r="C10" s="206" t="s">
        <v>132</v>
      </c>
      <c r="D10" s="207">
        <f t="shared" si="0"/>
        <v>0</v>
      </c>
    </row>
    <row r="11" spans="1:4" ht="13.5" customHeight="1">
      <c r="A11" s="205"/>
      <c r="B11" s="206"/>
      <c r="C11" s="206"/>
      <c r="D11" s="208">
        <f>SUM(D5:D10)</f>
        <v>26.06625</v>
      </c>
    </row>
    <row r="12" spans="1:7" ht="13.5" customHeight="1">
      <c r="A12" s="205" t="s">
        <v>133</v>
      </c>
      <c r="B12" s="206">
        <v>25521.11</v>
      </c>
      <c r="C12" s="206">
        <v>16312.01</v>
      </c>
      <c r="D12" s="207">
        <f>(SUM(B12:C12)+$D$18*E12/$C$17)/1000</f>
        <v>30.948278592892297</v>
      </c>
      <c r="E12" s="209">
        <f>SUM(B12:C12)</f>
        <v>41833.12</v>
      </c>
      <c r="G12" s="248">
        <f>E12/$C$17*$G$17</f>
        <v>93.43643076474075</v>
      </c>
    </row>
    <row r="13" spans="1:7" ht="13.5" customHeight="1">
      <c r="A13" s="205" t="s">
        <v>134</v>
      </c>
      <c r="B13" s="206">
        <v>27469.83</v>
      </c>
      <c r="C13" s="206">
        <v>39265.66</v>
      </c>
      <c r="D13" s="207">
        <f>(SUM(B13:C13)+$D$18*E13/$C$17)/1000</f>
        <v>49.37113312497796</v>
      </c>
      <c r="E13" s="209">
        <f>SUM(B13:C13)</f>
        <v>66735.49</v>
      </c>
      <c r="G13" s="248">
        <f>E13/$C$17*$G$17</f>
        <v>149.05715832182847</v>
      </c>
    </row>
    <row r="14" spans="1:7" ht="13.5" customHeight="1">
      <c r="A14" s="205" t="s">
        <v>135</v>
      </c>
      <c r="B14" s="206">
        <v>10898.85</v>
      </c>
      <c r="C14" s="206">
        <v>6010.21</v>
      </c>
      <c r="D14" s="207">
        <f>(SUM(B14:C14)+$D$18*E14/$C$17)/1000</f>
        <v>12.509377728076018</v>
      </c>
      <c r="E14" s="209">
        <f>SUM(B14:C14)</f>
        <v>16909.06</v>
      </c>
      <c r="G14" s="248">
        <f>E14/$C$17*$G$17</f>
        <v>37.76725747414602</v>
      </c>
    </row>
    <row r="15" spans="1:7" ht="13.5" customHeight="1">
      <c r="A15" s="205" t="s">
        <v>136</v>
      </c>
      <c r="B15" s="206">
        <v>40468.48</v>
      </c>
      <c r="C15" s="206">
        <v>25765.58</v>
      </c>
      <c r="D15" s="207">
        <f>(SUM(B15:C15)+$D$18*E15/$C$17)/1000</f>
        <v>49.000173575825656</v>
      </c>
      <c r="E15" s="209">
        <f>SUM(B15:C15)</f>
        <v>66234.06</v>
      </c>
      <c r="G15" s="248">
        <f>E15/$C$17*$G$17</f>
        <v>147.9371885591532</v>
      </c>
    </row>
    <row r="16" spans="1:7" ht="13.5" customHeight="1" thickBot="1">
      <c r="A16" s="205" t="s">
        <v>137</v>
      </c>
      <c r="B16" s="206">
        <v>47723.3</v>
      </c>
      <c r="C16" s="206">
        <v>42626.96</v>
      </c>
      <c r="D16" s="207">
        <f>(SUM(B16:C16)+$D$18*E16/$C$17)/1000</f>
        <v>66.8414169782281</v>
      </c>
      <c r="E16" s="209">
        <f>SUM(B16:C16)</f>
        <v>90350.26000000001</v>
      </c>
      <c r="G16" s="248">
        <f>E16/$C$17*$G$17</f>
        <v>201.8019648801315</v>
      </c>
    </row>
    <row r="17" spans="1:9" ht="13.5" customHeight="1" thickBot="1" thickTop="1">
      <c r="A17" s="205"/>
      <c r="B17" s="206"/>
      <c r="C17" s="206">
        <f>SUM(B12:C16)</f>
        <v>282061.99000000005</v>
      </c>
      <c r="D17" s="208">
        <f>SUM(D12:D16)</f>
        <v>208.67038000000002</v>
      </c>
      <c r="G17" s="444">
        <f>+'BUDGET 2001'!M48</f>
        <v>630</v>
      </c>
      <c r="I17" s="247"/>
    </row>
    <row r="18" spans="1:4" ht="13.5" customHeight="1" thickTop="1">
      <c r="A18" s="205" t="s">
        <v>138</v>
      </c>
      <c r="B18" s="206">
        <v>-51766.52</v>
      </c>
      <c r="C18" s="206">
        <v>-21625.09</v>
      </c>
      <c r="D18" s="207">
        <f>SUM(B18:C18)</f>
        <v>-73391.61</v>
      </c>
    </row>
    <row r="19" spans="1:7" ht="13.5" customHeight="1">
      <c r="A19" s="205"/>
      <c r="B19" s="206"/>
      <c r="C19" s="206"/>
      <c r="D19" s="208"/>
      <c r="G19" s="247"/>
    </row>
    <row r="20" spans="1:4" ht="13.5" customHeight="1">
      <c r="A20" s="205" t="s">
        <v>148</v>
      </c>
      <c r="B20" s="206" t="s">
        <v>132</v>
      </c>
      <c r="C20" s="206">
        <v>3025.23</v>
      </c>
      <c r="D20" s="207">
        <f>SUM(B20:C20)/1000</f>
        <v>3.02523</v>
      </c>
    </row>
    <row r="21" spans="1:7" ht="13.5" customHeight="1">
      <c r="A21" s="205" t="s">
        <v>139</v>
      </c>
      <c r="B21" s="206">
        <v>178397.92</v>
      </c>
      <c r="C21" s="206">
        <v>190147.9</v>
      </c>
      <c r="D21" s="207">
        <f>SUM(B21:C21)/1000</f>
        <v>368.54582</v>
      </c>
      <c r="G21" s="496">
        <f>+'BUDGET 2001'!M70</f>
        <v>800</v>
      </c>
    </row>
    <row r="22" spans="1:7" ht="13.5" customHeight="1">
      <c r="A22" s="205" t="s">
        <v>149</v>
      </c>
      <c r="B22" s="206">
        <v>31409.61</v>
      </c>
      <c r="C22" s="206">
        <v>49731.14</v>
      </c>
      <c r="D22" s="207">
        <f>SUM(B22:C22)/1000</f>
        <v>81.14075</v>
      </c>
      <c r="G22" s="496">
        <f>+'BUDGET 2001'!M90</f>
        <v>160</v>
      </c>
    </row>
    <row r="23" spans="1:7" ht="13.5" customHeight="1">
      <c r="A23" s="205" t="s">
        <v>140</v>
      </c>
      <c r="B23" s="206" t="s">
        <v>132</v>
      </c>
      <c r="C23" s="206">
        <v>14455.6</v>
      </c>
      <c r="D23" s="207">
        <f>SUM(B23:C23)/1000</f>
        <v>14.4556</v>
      </c>
      <c r="G23" s="496">
        <f>+'BUDGET 2001'!M77</f>
        <v>50</v>
      </c>
    </row>
    <row r="24" ht="12.75">
      <c r="A24" s="283"/>
    </row>
  </sheetData>
  <mergeCells count="1">
    <mergeCell ref="B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zoomScale="75" zoomScaleNormal="75" workbookViewId="0" topLeftCell="A1">
      <pane xSplit="2700" ySplit="585" topLeftCell="O1" activePane="topRight" state="split"/>
      <selection pane="topLeft" activeCell="A1" sqref="A1"/>
      <selection pane="topRight" activeCell="AE1" sqref="AE1:AE16384"/>
      <selection pane="bottomLeft" activeCell="A8" sqref="A8:IV8"/>
      <selection pane="bottomRight" activeCell="AE1" sqref="AE1:AE16384"/>
    </sheetView>
  </sheetViews>
  <sheetFormatPr defaultColWidth="9.140625" defaultRowHeight="12.75"/>
  <cols>
    <col min="1" max="1" width="29.7109375" style="0" customWidth="1"/>
    <col min="2" max="2" width="4.7109375" style="0" bestFit="1" customWidth="1"/>
    <col min="3" max="3" width="6.00390625" style="0" bestFit="1" customWidth="1"/>
    <col min="4" max="4" width="5.7109375" style="0" customWidth="1"/>
    <col min="5" max="5" width="5.57421875" style="0" bestFit="1" customWidth="1"/>
    <col min="6" max="6" width="6.140625" style="0" bestFit="1" customWidth="1"/>
    <col min="7" max="7" width="4.7109375" style="0" bestFit="1" customWidth="1"/>
    <col min="8" max="8" width="5.7109375" style="0" bestFit="1" customWidth="1"/>
    <col min="9" max="9" width="4.7109375" style="0" bestFit="1" customWidth="1"/>
    <col min="10" max="10" width="5.28125" style="0" bestFit="1" customWidth="1"/>
    <col min="11" max="11" width="5.28125" style="0" customWidth="1"/>
    <col min="12" max="12" width="4.8515625" style="0" bestFit="1" customWidth="1"/>
    <col min="13" max="13" width="4.7109375" style="0" bestFit="1" customWidth="1"/>
    <col min="14" max="14" width="4.7109375" style="0" customWidth="1"/>
    <col min="15" max="15" width="5.8515625" style="0" bestFit="1" customWidth="1"/>
    <col min="16" max="16" width="5.57421875" style="0" bestFit="1" customWidth="1"/>
    <col min="17" max="17" width="5.57421875" style="0" customWidth="1"/>
    <col min="18" max="18" width="4.7109375" style="0" bestFit="1" customWidth="1"/>
    <col min="19" max="19" width="5.421875" style="0" customWidth="1"/>
    <col min="20" max="20" width="5.7109375" style="0" bestFit="1" customWidth="1"/>
    <col min="21" max="21" width="4.7109375" style="0" bestFit="1" customWidth="1"/>
    <col min="22" max="22" width="6.57421875" style="0" bestFit="1" customWidth="1"/>
    <col min="23" max="23" width="7.00390625" style="0" bestFit="1" customWidth="1"/>
    <col min="24" max="24" width="5.57421875" style="0" bestFit="1" customWidth="1"/>
    <col min="25" max="25" width="5.00390625" style="0" bestFit="1" customWidth="1"/>
    <col min="26" max="26" width="6.00390625" style="0" bestFit="1" customWidth="1"/>
    <col min="27" max="27" width="4.7109375" style="0" bestFit="1" customWidth="1"/>
    <col min="28" max="29" width="4.7109375" style="0" customWidth="1"/>
    <col min="30" max="30" width="5.7109375" style="0" customWidth="1"/>
    <col min="31" max="31" width="6.57421875" style="0" bestFit="1" customWidth="1"/>
  </cols>
  <sheetData>
    <row r="1" spans="1:31" s="269" customFormat="1" ht="57" customHeight="1">
      <c r="A1" s="270" t="s">
        <v>150</v>
      </c>
      <c r="B1" s="270" t="s">
        <v>19</v>
      </c>
      <c r="C1" s="270" t="s">
        <v>9</v>
      </c>
      <c r="D1" s="270" t="s">
        <v>13</v>
      </c>
      <c r="E1" s="270" t="s">
        <v>6</v>
      </c>
      <c r="F1" s="270" t="s">
        <v>16</v>
      </c>
      <c r="G1" s="270" t="s">
        <v>17</v>
      </c>
      <c r="H1" s="270" t="s">
        <v>3</v>
      </c>
      <c r="I1" s="270" t="s">
        <v>5</v>
      </c>
      <c r="J1" s="270" t="s">
        <v>22</v>
      </c>
      <c r="K1" s="270" t="s">
        <v>126</v>
      </c>
      <c r="L1" s="270" t="s">
        <v>4</v>
      </c>
      <c r="M1" s="270" t="s">
        <v>15</v>
      </c>
      <c r="N1" s="270" t="s">
        <v>313</v>
      </c>
      <c r="O1" s="270" t="s">
        <v>20</v>
      </c>
      <c r="P1" s="270" t="s">
        <v>23</v>
      </c>
      <c r="Q1" s="270" t="s">
        <v>125</v>
      </c>
      <c r="R1" s="270" t="s">
        <v>10</v>
      </c>
      <c r="S1" s="270" t="s">
        <v>11</v>
      </c>
      <c r="T1" s="270" t="s">
        <v>2</v>
      </c>
      <c r="U1" s="270" t="s">
        <v>18</v>
      </c>
      <c r="V1" s="270" t="s">
        <v>8</v>
      </c>
      <c r="W1" s="270" t="s">
        <v>1</v>
      </c>
      <c r="X1" s="270" t="s">
        <v>7</v>
      </c>
      <c r="Y1" s="270" t="s">
        <v>14</v>
      </c>
      <c r="Z1" s="270" t="s">
        <v>24</v>
      </c>
      <c r="AA1" s="270" t="s">
        <v>21</v>
      </c>
      <c r="AB1" s="270" t="s">
        <v>308</v>
      </c>
      <c r="AC1" s="270" t="s">
        <v>309</v>
      </c>
      <c r="AD1" s="270" t="s">
        <v>66</v>
      </c>
      <c r="AE1" s="270" t="s">
        <v>151</v>
      </c>
    </row>
    <row r="2" spans="1:31" s="273" customFormat="1" ht="12.75">
      <c r="A2" s="271" t="s">
        <v>152</v>
      </c>
      <c r="B2" s="273">
        <v>0.26</v>
      </c>
      <c r="C2" s="273">
        <v>0.1</v>
      </c>
      <c r="D2" s="273">
        <v>0.1</v>
      </c>
      <c r="E2" s="273">
        <v>0.05</v>
      </c>
      <c r="F2" s="273">
        <v>0</v>
      </c>
      <c r="G2" s="273">
        <v>0.1</v>
      </c>
      <c r="H2" s="273">
        <v>0.84</v>
      </c>
      <c r="I2" s="273">
        <v>0.16</v>
      </c>
      <c r="L2" s="273">
        <v>0.1</v>
      </c>
      <c r="M2" s="273">
        <v>0.21</v>
      </c>
      <c r="O2" s="273">
        <v>0.26</v>
      </c>
      <c r="P2" s="273">
        <v>0.05</v>
      </c>
      <c r="R2" s="273">
        <v>0</v>
      </c>
      <c r="S2" s="273">
        <v>0.05</v>
      </c>
      <c r="T2" s="273">
        <v>0.84</v>
      </c>
      <c r="U2" s="273">
        <v>0.26</v>
      </c>
      <c r="V2" s="273">
        <v>0</v>
      </c>
      <c r="W2" s="273">
        <v>0.94</v>
      </c>
      <c r="X2" s="273">
        <v>0.21</v>
      </c>
      <c r="Y2" s="273">
        <v>0.1</v>
      </c>
      <c r="AA2" s="273">
        <v>0.1</v>
      </c>
      <c r="AB2" s="273">
        <v>0.21</v>
      </c>
      <c r="AC2" s="273">
        <v>0.84</v>
      </c>
      <c r="AD2" s="273">
        <v>0</v>
      </c>
      <c r="AE2" s="272">
        <f>SUM(B2:AD2)</f>
        <v>5.779999999999998</v>
      </c>
    </row>
    <row r="3" spans="1:31" ht="12.75">
      <c r="A3" s="211" t="s">
        <v>153</v>
      </c>
      <c r="B3" s="212">
        <f>B2/$AE$2*'Salaries Dpt'!$C$180</f>
        <v>9.083061887529709</v>
      </c>
      <c r="C3" s="212">
        <f>C2/$AE$2*'Salaries Dpt'!$C$180</f>
        <v>3.49348534135758</v>
      </c>
      <c r="D3" s="212">
        <f>D2/$AE$2*'Salaries Dpt'!$C$180</f>
        <v>3.49348534135758</v>
      </c>
      <c r="E3" s="212">
        <f>E2/$AE$2*'Salaries Dpt'!$C$180</f>
        <v>1.74674267067879</v>
      </c>
      <c r="F3" s="212">
        <f>F2/$AE$2*'Salaries Dpt'!$C$180</f>
        <v>0</v>
      </c>
      <c r="G3" s="212">
        <f>G2/$AE$2*'Salaries Dpt'!$C$180</f>
        <v>3.49348534135758</v>
      </c>
      <c r="H3" s="212">
        <f>H2/$AE$2*'Salaries Dpt'!$C$180</f>
        <v>29.34527686740367</v>
      </c>
      <c r="I3" s="212">
        <f>I2/$AE$2*'Salaries Dpt'!$C$180</f>
        <v>5.589576546172128</v>
      </c>
      <c r="J3" s="212">
        <f>J2/$AE$2*'Salaries Dpt'!$C$180</f>
        <v>0</v>
      </c>
      <c r="K3" s="212">
        <f>K2/$AE$2*'Salaries Dpt'!$C$180</f>
        <v>0</v>
      </c>
      <c r="L3" s="212">
        <f>L2/$AE$2*'Salaries Dpt'!$C$180</f>
        <v>3.49348534135758</v>
      </c>
      <c r="M3" s="212">
        <f>M2/$AE$2*'Salaries Dpt'!$C$180</f>
        <v>7.336319216850917</v>
      </c>
      <c r="N3" s="212"/>
      <c r="O3" s="212">
        <f>O2/$AE$2*'Salaries Dpt'!$C$180</f>
        <v>9.083061887529709</v>
      </c>
      <c r="P3" s="212">
        <f>P2/$AE$2*'Salaries Dpt'!$C$180</f>
        <v>1.74674267067879</v>
      </c>
      <c r="Q3" s="212">
        <f>Q2/$AE$2*'Salaries Dpt'!$C$180</f>
        <v>0</v>
      </c>
      <c r="R3" s="212">
        <f>R2/$AE$2*'Salaries Dpt'!$C$180</f>
        <v>0</v>
      </c>
      <c r="S3" s="212">
        <f>S2/$AE$2*'Salaries Dpt'!$C$180</f>
        <v>1.74674267067879</v>
      </c>
      <c r="T3" s="212">
        <f>T2/$AE$2*'Salaries Dpt'!$C$180</f>
        <v>29.34527686740367</v>
      </c>
      <c r="U3" s="212">
        <f>U2/$AE$2*'Salaries Dpt'!$C$180</f>
        <v>9.083061887529709</v>
      </c>
      <c r="V3" s="212">
        <f>V2/$AE$2*'Salaries Dpt'!$C$180</f>
        <v>0</v>
      </c>
      <c r="W3" s="212">
        <f>W2/$AE$2*'Salaries Dpt'!$C$180</f>
        <v>32.838762208761246</v>
      </c>
      <c r="X3" s="212">
        <f>X2/$AE$2*'Salaries Dpt'!$C$180</f>
        <v>7.336319216850917</v>
      </c>
      <c r="Y3" s="212">
        <f>Y2/$AE$2*'Salaries Dpt'!$C$180</f>
        <v>3.49348534135758</v>
      </c>
      <c r="Z3" s="212">
        <f>Z2/$AE$2*'Salaries Dpt'!$C$180</f>
        <v>0</v>
      </c>
      <c r="AA3" s="212">
        <f>AA2/$AE$2*'Salaries Dpt'!$C$180</f>
        <v>3.49348534135758</v>
      </c>
      <c r="AB3" s="212">
        <f>AB2/$AE$2*'Salaries Dpt'!$C$180</f>
        <v>7.336319216850917</v>
      </c>
      <c r="AC3" s="212">
        <f>AC2/$AE$2*'Salaries Dpt'!$C$180</f>
        <v>29.34527686740367</v>
      </c>
      <c r="AD3" s="212">
        <f>AD2/$AE$2*'Salaries Dpt'!$C$180</f>
        <v>0</v>
      </c>
      <c r="AE3" s="4">
        <f>SUM(B3:AD3)</f>
        <v>201.92345273046806</v>
      </c>
    </row>
    <row r="4" spans="1:31" s="215" customFormat="1" ht="12.75">
      <c r="A4" s="213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</row>
    <row r="5" spans="1:31" s="273" customFormat="1" ht="12.75">
      <c r="A5" s="271" t="s">
        <v>154</v>
      </c>
      <c r="B5" s="272">
        <v>0.51</v>
      </c>
      <c r="C5" s="272">
        <v>0.66</v>
      </c>
      <c r="D5" s="272">
        <v>0.26</v>
      </c>
      <c r="E5" s="272">
        <v>0.66</v>
      </c>
      <c r="F5" s="272">
        <v>0.15</v>
      </c>
      <c r="G5" s="272">
        <v>0.11</v>
      </c>
      <c r="H5" s="272">
        <v>1.17</v>
      </c>
      <c r="I5" s="272">
        <v>0</v>
      </c>
      <c r="J5" s="272">
        <v>0</v>
      </c>
      <c r="K5" s="272"/>
      <c r="L5" s="272">
        <v>0.29</v>
      </c>
      <c r="M5" s="272">
        <v>0.29</v>
      </c>
      <c r="N5" s="272"/>
      <c r="O5" s="272">
        <v>0.18</v>
      </c>
      <c r="P5" s="272">
        <v>0</v>
      </c>
      <c r="Q5" s="272"/>
      <c r="R5" s="272">
        <v>0.26</v>
      </c>
      <c r="S5" s="272">
        <v>0.26</v>
      </c>
      <c r="T5" s="272">
        <v>1.68</v>
      </c>
      <c r="U5" s="272">
        <v>0.29</v>
      </c>
      <c r="V5" s="272">
        <v>0.91</v>
      </c>
      <c r="W5" s="272">
        <v>0.88</v>
      </c>
      <c r="X5" s="272">
        <v>0.88</v>
      </c>
      <c r="Y5" s="272">
        <v>0.4</v>
      </c>
      <c r="Z5" s="272">
        <v>0</v>
      </c>
      <c r="AA5" s="272">
        <v>0</v>
      </c>
      <c r="AB5" s="272">
        <v>0.58</v>
      </c>
      <c r="AC5" s="272">
        <v>0</v>
      </c>
      <c r="AD5" s="272">
        <v>0</v>
      </c>
      <c r="AE5" s="272">
        <f>SUM(B5:AD5)</f>
        <v>10.42</v>
      </c>
    </row>
    <row r="6" spans="1:31" ht="12.75">
      <c r="A6" s="211" t="s">
        <v>153</v>
      </c>
      <c r="B6" s="212">
        <f>B5/$AE$5*'Salaries Dpt'!$C$181</f>
        <v>62.52217126427996</v>
      </c>
      <c r="C6" s="212">
        <f>C5/$AE$5*'Salaries Dpt'!$C$181</f>
        <v>80.9110451655388</v>
      </c>
      <c r="D6" s="212">
        <f>D5/$AE$5*'Salaries Dpt'!$C$181</f>
        <v>31.874048095515278</v>
      </c>
      <c r="E6" s="212">
        <f>E5/$AE$5*'Salaries Dpt'!$C$181</f>
        <v>80.9110451655388</v>
      </c>
      <c r="F6" s="212">
        <f>F5/$AE$5*'Salaries Dpt'!$C$181</f>
        <v>18.388873901258812</v>
      </c>
      <c r="G6" s="212">
        <f>G5/$AE$5*'Salaries Dpt'!$C$181</f>
        <v>13.485174194256462</v>
      </c>
      <c r="H6" s="212">
        <f>H5/$AE$5*'Salaries Dpt'!$C$181</f>
        <v>143.43321642981874</v>
      </c>
      <c r="I6" s="212">
        <f>I5/$AE$5*'Salaries Dpt'!$C$181</f>
        <v>0</v>
      </c>
      <c r="J6" s="212">
        <f>J5/$AE$5*'Salaries Dpt'!$C$181</f>
        <v>0</v>
      </c>
      <c r="K6" s="212">
        <f>K5/$AE$5*'Salaries Dpt'!$C$181</f>
        <v>0</v>
      </c>
      <c r="L6" s="212">
        <f>L5/$AE$5*'Salaries Dpt'!$C$181</f>
        <v>35.55182287576704</v>
      </c>
      <c r="M6" s="212">
        <f>M5/$AE$5*'Salaries Dpt'!$C$181</f>
        <v>35.55182287576704</v>
      </c>
      <c r="N6" s="212"/>
      <c r="O6" s="212">
        <f>O5/$AE$5*'Salaries Dpt'!$C$181</f>
        <v>22.06664868151058</v>
      </c>
      <c r="P6" s="212">
        <f>P5/$AE$5*'Salaries Dpt'!$C$181</f>
        <v>0</v>
      </c>
      <c r="Q6" s="212">
        <f>Q5/$AE$5*'Salaries Dpt'!$C$181</f>
        <v>0</v>
      </c>
      <c r="R6" s="212">
        <f>R5/$AE$5*'Salaries Dpt'!$C$181</f>
        <v>31.874048095515278</v>
      </c>
      <c r="S6" s="212">
        <f>S5/$AE$5*'Salaries Dpt'!$C$181</f>
        <v>31.874048095515278</v>
      </c>
      <c r="T6" s="212">
        <f>T5/$AE$5*'Salaries Dpt'!$C$181</f>
        <v>205.9553876940987</v>
      </c>
      <c r="U6" s="212">
        <f>U5/$AE$5*'Salaries Dpt'!$C$181</f>
        <v>35.55182287576704</v>
      </c>
      <c r="V6" s="212">
        <f>V5/$AE$5*'Salaries Dpt'!$C$181</f>
        <v>111.55916833430348</v>
      </c>
      <c r="W6" s="212">
        <f>W5/$AE$5*'Salaries Dpt'!$C$181</f>
        <v>107.8813935540517</v>
      </c>
      <c r="X6" s="212">
        <f>X5/$AE$5*'Salaries Dpt'!$C$181</f>
        <v>107.8813935540517</v>
      </c>
      <c r="Y6" s="212">
        <f>Y5/$AE$5*'Salaries Dpt'!$C$181</f>
        <v>49.03699707002351</v>
      </c>
      <c r="Z6" s="212">
        <f>Z5/$AE$5*'Salaries Dpt'!$C$181</f>
        <v>0</v>
      </c>
      <c r="AA6" s="212">
        <f>AA5/$AE$5*'Salaries Dpt'!$C$181</f>
        <v>0</v>
      </c>
      <c r="AB6" s="212">
        <f>AB5/$AE$5*'Salaries Dpt'!$C$181</f>
        <v>71.10364575153407</v>
      </c>
      <c r="AC6" s="212">
        <f>AC5/$AE$5*'Salaries Dpt'!$C$181</f>
        <v>0</v>
      </c>
      <c r="AD6" s="212">
        <f>AD5/$AE$5*'Salaries Dpt'!$C$181</f>
        <v>0</v>
      </c>
      <c r="AE6" s="4">
        <f>SUM(B6:AD6)</f>
        <v>1277.4137736741122</v>
      </c>
    </row>
    <row r="7" spans="1:31" s="215" customFormat="1" ht="12.75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</row>
    <row r="8" spans="1:31" s="273" customFormat="1" ht="12.75">
      <c r="A8" s="274" t="s">
        <v>155</v>
      </c>
      <c r="B8" s="272">
        <v>0.28</v>
      </c>
      <c r="C8" s="272">
        <v>0.29</v>
      </c>
      <c r="D8" s="272">
        <v>0.13</v>
      </c>
      <c r="E8" s="272">
        <v>0.28</v>
      </c>
      <c r="F8" s="272">
        <v>0.06</v>
      </c>
      <c r="G8" s="272">
        <v>0.07</v>
      </c>
      <c r="H8" s="272">
        <v>0.7</v>
      </c>
      <c r="I8" s="272">
        <v>0.04</v>
      </c>
      <c r="J8" s="272">
        <v>0</v>
      </c>
      <c r="K8" s="272"/>
      <c r="L8" s="272">
        <v>0.15</v>
      </c>
      <c r="M8" s="272">
        <v>0.18</v>
      </c>
      <c r="N8" s="272"/>
      <c r="O8" s="272">
        <v>0.15</v>
      </c>
      <c r="P8" s="272">
        <v>0.01</v>
      </c>
      <c r="Q8" s="272"/>
      <c r="R8" s="272">
        <v>0.1</v>
      </c>
      <c r="S8" s="272">
        <v>0.12</v>
      </c>
      <c r="T8" s="272">
        <v>0.91</v>
      </c>
      <c r="U8" s="272">
        <v>0.19</v>
      </c>
      <c r="V8" s="272">
        <v>0.37</v>
      </c>
      <c r="W8" s="272">
        <v>0.61</v>
      </c>
      <c r="X8" s="272">
        <v>0.41</v>
      </c>
      <c r="Y8" s="272">
        <v>0.19</v>
      </c>
      <c r="Z8" s="272">
        <v>0</v>
      </c>
      <c r="AA8" s="272">
        <v>0.03</v>
      </c>
      <c r="AB8" s="272">
        <v>0.29</v>
      </c>
      <c r="AC8" s="272">
        <v>0.23</v>
      </c>
      <c r="AD8" s="272">
        <v>3.75</v>
      </c>
      <c r="AE8" s="272">
        <f>SUM(B8:AD8)</f>
        <v>9.540000000000003</v>
      </c>
    </row>
    <row r="9" spans="1:32" ht="12.75">
      <c r="A9" s="211" t="s">
        <v>153</v>
      </c>
      <c r="B9" s="216">
        <f>B8/$AE$8*'Salaries Dpt'!$C$179</f>
        <v>11.414473758856737</v>
      </c>
      <c r="C9" s="216">
        <f>C8/$AE$8*'Salaries Dpt'!$C$179</f>
        <v>11.822133535958761</v>
      </c>
      <c r="D9" s="216">
        <f>D8/$AE$8*'Salaries Dpt'!$C$179</f>
        <v>5.299577102326342</v>
      </c>
      <c r="E9" s="216">
        <f>E8/$AE$8*'Salaries Dpt'!$C$179</f>
        <v>11.414473758856737</v>
      </c>
      <c r="F9" s="216">
        <f>F8/$AE$8*'Salaries Dpt'!$C$179</f>
        <v>2.4459586626121577</v>
      </c>
      <c r="G9" s="216">
        <f>G8/$AE$8*'Salaries Dpt'!$C$179</f>
        <v>2.853618439714184</v>
      </c>
      <c r="H9" s="216">
        <f>H8/$AE$8*'Salaries Dpt'!$C$179</f>
        <v>28.536184397141838</v>
      </c>
      <c r="I9" s="216">
        <f>I8/$AE$8*'Salaries Dpt'!$C$179</f>
        <v>1.630639108408105</v>
      </c>
      <c r="J9" s="216">
        <f>J8/$AE$8*'Salaries Dpt'!$C$179</f>
        <v>0</v>
      </c>
      <c r="K9" s="216">
        <f>K8/$AE$8*'Salaries Dpt'!$C$179</f>
        <v>0</v>
      </c>
      <c r="L9" s="216">
        <f>L8/$AE$8*'Salaries Dpt'!$C$179</f>
        <v>6.114896656530395</v>
      </c>
      <c r="M9" s="216">
        <f>M8/$AE$8*'Salaries Dpt'!$C$179</f>
        <v>7.3378759878364725</v>
      </c>
      <c r="N9" s="216"/>
      <c r="O9" s="216">
        <f>O8/$AE$8*'Salaries Dpt'!$C$179</f>
        <v>6.114896656530395</v>
      </c>
      <c r="P9" s="216">
        <f>P8/$AE$8*'Salaries Dpt'!$C$179</f>
        <v>0.4076597771020263</v>
      </c>
      <c r="Q9" s="216">
        <f>Q8/$AE$8*'Salaries Dpt'!$C$179</f>
        <v>0</v>
      </c>
      <c r="R9" s="216">
        <f>R8/$AE$8*'Salaries Dpt'!$C$179</f>
        <v>4.076597771020263</v>
      </c>
      <c r="S9" s="216">
        <f>S8/$AE$8*'Salaries Dpt'!$C$179</f>
        <v>4.891917325224315</v>
      </c>
      <c r="T9" s="216">
        <f>T8/$AE$8*'Salaries Dpt'!$C$179</f>
        <v>37.09703971628439</v>
      </c>
      <c r="U9" s="216">
        <f>U8/$AE$8*'Salaries Dpt'!$C$179</f>
        <v>7.7455357649384995</v>
      </c>
      <c r="V9" s="216">
        <f>V8/$AE$8*'Salaries Dpt'!$C$179</f>
        <v>15.083411752774973</v>
      </c>
      <c r="W9" s="216">
        <f>W8/$AE$8*'Salaries Dpt'!$C$179</f>
        <v>24.867246403223604</v>
      </c>
      <c r="X9" s="216">
        <f>X8/$AE$8*'Salaries Dpt'!$C$179</f>
        <v>16.71405086118308</v>
      </c>
      <c r="Y9" s="216">
        <f>Y8/$AE$8*'Salaries Dpt'!$C$179</f>
        <v>7.7455357649384995</v>
      </c>
      <c r="Z9" s="216">
        <f>Z8/$AE$8*'Salaries Dpt'!$C$179</f>
        <v>0</v>
      </c>
      <c r="AA9" s="216">
        <f>AA8/$AE$8*'Salaries Dpt'!$C$179</f>
        <v>1.2229793313060788</v>
      </c>
      <c r="AB9" s="216">
        <f>AB8/$AE$8*'Salaries Dpt'!$C$179</f>
        <v>11.822133535958761</v>
      </c>
      <c r="AC9" s="216">
        <f>AC8/$AE$8*'Salaries Dpt'!$C$179</f>
        <v>9.376174873346605</v>
      </c>
      <c r="AD9" s="216">
        <f>AD8/$AE$8*'Salaries Dpt'!$C$179</f>
        <v>152.87241641325988</v>
      </c>
      <c r="AE9" s="4">
        <f>SUM(B9:AD9)</f>
        <v>388.907427355333</v>
      </c>
      <c r="AF9" s="188"/>
    </row>
    <row r="10" spans="1:32" s="215" customFormat="1" ht="12.75">
      <c r="A10" s="217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8"/>
    </row>
    <row r="11" spans="1:31" s="221" customFormat="1" ht="12.75">
      <c r="A11" s="219" t="s">
        <v>43</v>
      </c>
      <c r="B11" s="220">
        <f aca="true" t="shared" si="0" ref="B11:AB11">B9+B6+B3</f>
        <v>83.0197069106664</v>
      </c>
      <c r="C11" s="220">
        <f t="shared" si="0"/>
        <v>96.22666404285513</v>
      </c>
      <c r="D11" s="220">
        <f t="shared" si="0"/>
        <v>40.6671105391992</v>
      </c>
      <c r="E11" s="220">
        <f t="shared" si="0"/>
        <v>94.07226159507432</v>
      </c>
      <c r="F11" s="220">
        <f t="shared" si="0"/>
        <v>20.834832563870968</v>
      </c>
      <c r="G11" s="220">
        <f t="shared" si="0"/>
        <v>19.83227797532823</v>
      </c>
      <c r="H11" s="220">
        <f t="shared" si="0"/>
        <v>201.31467769436424</v>
      </c>
      <c r="I11" s="220">
        <f t="shared" si="0"/>
        <v>7.220215654580233</v>
      </c>
      <c r="J11" s="220">
        <f t="shared" si="0"/>
        <v>0</v>
      </c>
      <c r="K11" s="220">
        <f t="shared" si="0"/>
        <v>0</v>
      </c>
      <c r="L11" s="220">
        <f t="shared" si="0"/>
        <v>45.16020487365502</v>
      </c>
      <c r="M11" s="220">
        <f t="shared" si="0"/>
        <v>50.22601808045443</v>
      </c>
      <c r="N11" s="220"/>
      <c r="O11" s="220">
        <f t="shared" si="0"/>
        <v>37.264607225570686</v>
      </c>
      <c r="P11" s="220">
        <f t="shared" si="0"/>
        <v>2.154402447780816</v>
      </c>
      <c r="Q11" s="220">
        <f t="shared" si="0"/>
        <v>0</v>
      </c>
      <c r="R11" s="220">
        <f t="shared" si="0"/>
        <v>35.95064586653554</v>
      </c>
      <c r="S11" s="220">
        <f t="shared" si="0"/>
        <v>38.51270809141838</v>
      </c>
      <c r="T11" s="220">
        <f t="shared" si="0"/>
        <v>272.3977042777868</v>
      </c>
      <c r="U11" s="220">
        <f t="shared" si="0"/>
        <v>52.38042052823525</v>
      </c>
      <c r="V11" s="220">
        <f t="shared" si="0"/>
        <v>126.64258008707846</v>
      </c>
      <c r="W11" s="220">
        <f t="shared" si="0"/>
        <v>165.58740216603655</v>
      </c>
      <c r="X11" s="220">
        <f t="shared" si="0"/>
        <v>131.9317636320857</v>
      </c>
      <c r="Y11" s="220">
        <f t="shared" si="0"/>
        <v>60.276018176319596</v>
      </c>
      <c r="Z11" s="220">
        <f t="shared" si="0"/>
        <v>0</v>
      </c>
      <c r="AA11" s="220">
        <f t="shared" si="0"/>
        <v>4.716464672663659</v>
      </c>
      <c r="AB11" s="220">
        <f t="shared" si="0"/>
        <v>90.26209850434375</v>
      </c>
      <c r="AC11" s="220">
        <f>AC9+AC6+AC3</f>
        <v>38.721451740750275</v>
      </c>
      <c r="AD11" s="220">
        <f>AD9+AD6+AD3</f>
        <v>152.87241641325988</v>
      </c>
      <c r="AE11" s="223">
        <f>SUM(B11:AD11)</f>
        <v>1868.2446537599135</v>
      </c>
    </row>
    <row r="12" spans="1:32" s="225" customFormat="1" ht="12.75">
      <c r="A12" s="222" t="s">
        <v>47</v>
      </c>
      <c r="B12" s="220">
        <f>B5/$AE$5*'Travel Dpt'!$G$16</f>
        <v>9.877063540198375</v>
      </c>
      <c r="C12" s="220">
        <f>C5/$AE$5*'Travel Dpt'!$G$16</f>
        <v>12.782082228492015</v>
      </c>
      <c r="D12" s="220">
        <f>D5/$AE$5*'Travel Dpt'!$G$16</f>
        <v>5.035365726375642</v>
      </c>
      <c r="E12" s="220">
        <f>E5/$AE$5*'Travel Dpt'!$G$16</f>
        <v>12.782082228492015</v>
      </c>
      <c r="F12" s="220">
        <f>F5/$AE$5*'Travel Dpt'!$G$16</f>
        <v>2.9050186882936395</v>
      </c>
      <c r="G12" s="220">
        <f>G5/$AE$5*'Travel Dpt'!$G$16</f>
        <v>2.1303470380820024</v>
      </c>
      <c r="H12" s="220">
        <f>H5/$AE$5*'Travel Dpt'!$G$16</f>
        <v>22.659145768690387</v>
      </c>
      <c r="I12" s="220">
        <f>I5/$AE$5*'Travel Dpt'!$G$16</f>
        <v>0</v>
      </c>
      <c r="J12" s="220">
        <f>J5/$AE$5*'Travel Dpt'!$G$16</f>
        <v>0</v>
      </c>
      <c r="K12" s="220">
        <f>K5/$AE$5*'Travel Dpt'!$G$16</f>
        <v>0</v>
      </c>
      <c r="L12" s="220">
        <f>L5/$AE$5*'Travel Dpt'!$G$16</f>
        <v>5.61636946403437</v>
      </c>
      <c r="M12" s="220">
        <f>M5/$AE$5*'Travel Dpt'!$G$16</f>
        <v>5.61636946403437</v>
      </c>
      <c r="N12" s="220"/>
      <c r="O12" s="220">
        <f>O5/$AE$5*'Travel Dpt'!$G$16</f>
        <v>3.4860224259523678</v>
      </c>
      <c r="P12" s="220">
        <f>P5/$AE$5*'Travel Dpt'!$G$16</f>
        <v>0</v>
      </c>
      <c r="Q12" s="220">
        <f>Q5/$AE$5*'Travel Dpt'!$G$16</f>
        <v>0</v>
      </c>
      <c r="R12" s="220">
        <f>R5/$AE$5*'Travel Dpt'!$G$16</f>
        <v>5.035365726375642</v>
      </c>
      <c r="S12" s="220">
        <f>S5/$AE$5*'Travel Dpt'!$G$16</f>
        <v>5.035365726375642</v>
      </c>
      <c r="T12" s="220">
        <f>T5/$AE$5*'Travel Dpt'!$G$16</f>
        <v>32.536209308888765</v>
      </c>
      <c r="U12" s="220">
        <f>U5/$AE$5*'Travel Dpt'!$G$16</f>
        <v>5.61636946403437</v>
      </c>
      <c r="V12" s="220">
        <f>V5/$AE$5*'Travel Dpt'!$G$16</f>
        <v>17.62378004231475</v>
      </c>
      <c r="W12" s="220">
        <f>W5/$AE$5*'Travel Dpt'!$G$16</f>
        <v>17.04277630465602</v>
      </c>
      <c r="X12" s="220">
        <f>X5/$AE$5*'Travel Dpt'!$G$16</f>
        <v>17.04277630465602</v>
      </c>
      <c r="Y12" s="220">
        <f>Y5/$AE$5*'Travel Dpt'!$G$16</f>
        <v>7.746716502116373</v>
      </c>
      <c r="Z12" s="220">
        <f>Z5/$AE$5*'Travel Dpt'!$G$16</f>
        <v>0</v>
      </c>
      <c r="AA12" s="220">
        <f>AA5/$AE$5*'Travel Dpt'!$G$16</f>
        <v>0</v>
      </c>
      <c r="AB12" s="220">
        <f>AB5/$AE$5*'Travel Dpt'!$G$16</f>
        <v>11.23273892806874</v>
      </c>
      <c r="AC12" s="220">
        <f>AC5/$AE$5*'Travel Dpt'!$G$16</f>
        <v>0</v>
      </c>
      <c r="AD12" s="220">
        <f>AD5/$AE$5*'Travel Dpt'!$G$16</f>
        <v>0</v>
      </c>
      <c r="AE12" s="223">
        <f>SUM(B12:AD12)</f>
        <v>201.8019648801315</v>
      </c>
      <c r="AF12" s="224"/>
    </row>
    <row r="13" spans="1:32" s="215" customFormat="1" ht="12.75">
      <c r="A13" s="217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8"/>
    </row>
    <row r="14" spans="1:31" s="228" customFormat="1" ht="12.75">
      <c r="A14" s="226" t="s">
        <v>156</v>
      </c>
      <c r="B14" s="227">
        <f aca="true" t="shared" si="1" ref="B14:AE14">SUM(B11:B12)</f>
        <v>92.89677045086478</v>
      </c>
      <c r="C14" s="227">
        <f t="shared" si="1"/>
        <v>109.00874627134715</v>
      </c>
      <c r="D14" s="227">
        <f t="shared" si="1"/>
        <v>45.702476265574845</v>
      </c>
      <c r="E14" s="227">
        <f t="shared" si="1"/>
        <v>106.85434382356634</v>
      </c>
      <c r="F14" s="227">
        <f t="shared" si="1"/>
        <v>23.73985125216461</v>
      </c>
      <c r="G14" s="227">
        <f t="shared" si="1"/>
        <v>21.962625013410232</v>
      </c>
      <c r="H14" s="227">
        <f t="shared" si="1"/>
        <v>223.97382346305463</v>
      </c>
      <c r="I14" s="227">
        <f t="shared" si="1"/>
        <v>7.220215654580233</v>
      </c>
      <c r="J14" s="227">
        <f t="shared" si="1"/>
        <v>0</v>
      </c>
      <c r="K14" s="227"/>
      <c r="L14" s="227">
        <f t="shared" si="1"/>
        <v>50.77657433768939</v>
      </c>
      <c r="M14" s="227">
        <f t="shared" si="1"/>
        <v>55.8423875444888</v>
      </c>
      <c r="N14" s="227"/>
      <c r="O14" s="227">
        <f t="shared" si="1"/>
        <v>40.750629651523056</v>
      </c>
      <c r="P14" s="227">
        <f t="shared" si="1"/>
        <v>2.154402447780816</v>
      </c>
      <c r="Q14" s="227"/>
      <c r="R14" s="227">
        <f t="shared" si="1"/>
        <v>40.98601159291118</v>
      </c>
      <c r="S14" s="227">
        <f t="shared" si="1"/>
        <v>43.54807381779403</v>
      </c>
      <c r="T14" s="227">
        <f t="shared" si="1"/>
        <v>304.93391358667554</v>
      </c>
      <c r="U14" s="227">
        <f t="shared" si="1"/>
        <v>57.99678999226962</v>
      </c>
      <c r="V14" s="227">
        <f t="shared" si="1"/>
        <v>144.2663601293932</v>
      </c>
      <c r="W14" s="227">
        <f t="shared" si="1"/>
        <v>182.63017847069258</v>
      </c>
      <c r="X14" s="227">
        <f t="shared" si="1"/>
        <v>148.97453993674173</v>
      </c>
      <c r="Y14" s="227">
        <f t="shared" si="1"/>
        <v>68.02273467843597</v>
      </c>
      <c r="Z14" s="227">
        <f t="shared" si="1"/>
        <v>0</v>
      </c>
      <c r="AA14" s="227">
        <f t="shared" si="1"/>
        <v>4.716464672663659</v>
      </c>
      <c r="AB14" s="227">
        <f t="shared" si="1"/>
        <v>101.4948374324125</v>
      </c>
      <c r="AC14" s="227">
        <f t="shared" si="1"/>
        <v>38.721451740750275</v>
      </c>
      <c r="AD14" s="227">
        <f>SUM(AD11:AD12)</f>
        <v>152.87241641325988</v>
      </c>
      <c r="AE14" s="227">
        <f t="shared" si="1"/>
        <v>2070.046618640045</v>
      </c>
    </row>
    <row r="15" spans="1:31" s="215" customFormat="1" ht="12.75">
      <c r="A15" s="229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</row>
    <row r="16" spans="1:31" s="215" customFormat="1" ht="12.75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</row>
    <row r="17" spans="1:31" s="215" customFormat="1" ht="12.75">
      <c r="A17" s="229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</row>
    <row r="20" ht="12.75" customHeight="1"/>
    <row r="21" ht="12.75">
      <c r="C21" s="230"/>
    </row>
    <row r="22" ht="12.75">
      <c r="C22" s="188"/>
    </row>
    <row r="23" ht="12.75">
      <c r="C23" s="188"/>
    </row>
    <row r="24" ht="15" customHeight="1"/>
  </sheetData>
  <printOptions/>
  <pageMargins left="0.28" right="0.2" top="0.49" bottom="0.6" header="0.23" footer="0.5"/>
  <pageSetup fitToHeight="1" fitToWidth="1" horizontalDpi="600" verticalDpi="600" orientation="landscape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showZeros="0" zoomScale="75" zoomScaleNormal="75" workbookViewId="0" topLeftCell="F1">
      <selection activeCell="AF9" sqref="AF9"/>
    </sheetView>
  </sheetViews>
  <sheetFormatPr defaultColWidth="9.140625" defaultRowHeight="12.75"/>
  <cols>
    <col min="1" max="1" width="29.7109375" style="234" customWidth="1"/>
    <col min="2" max="2" width="7.140625" style="234" bestFit="1" customWidth="1"/>
    <col min="3" max="3" width="6.00390625" style="234" bestFit="1" customWidth="1"/>
    <col min="4" max="4" width="5.7109375" style="234" customWidth="1"/>
    <col min="5" max="5" width="5.7109375" style="234" bestFit="1" customWidth="1"/>
    <col min="6" max="6" width="6.140625" style="234" bestFit="1" customWidth="1"/>
    <col min="7" max="7" width="4.7109375" style="234" bestFit="1" customWidth="1"/>
    <col min="8" max="8" width="5.8515625" style="234" bestFit="1" customWidth="1"/>
    <col min="9" max="9" width="5.57421875" style="234" bestFit="1" customWidth="1"/>
    <col min="10" max="10" width="5.28125" style="234" bestFit="1" customWidth="1"/>
    <col min="11" max="11" width="5.28125" style="234" customWidth="1"/>
    <col min="12" max="12" width="5.57421875" style="234" bestFit="1" customWidth="1"/>
    <col min="13" max="13" width="4.7109375" style="234" bestFit="1" customWidth="1"/>
    <col min="14" max="14" width="5.57421875" style="234" customWidth="1"/>
    <col min="15" max="15" width="5.8515625" style="234" bestFit="1" customWidth="1"/>
    <col min="16" max="16" width="5.7109375" style="234" bestFit="1" customWidth="1"/>
    <col min="17" max="17" width="5.7109375" style="234" customWidth="1"/>
    <col min="18" max="18" width="5.57421875" style="234" bestFit="1" customWidth="1"/>
    <col min="19" max="19" width="5.421875" style="234" customWidth="1"/>
    <col min="20" max="20" width="5.7109375" style="234" bestFit="1" customWidth="1"/>
    <col min="21" max="21" width="4.7109375" style="234" bestFit="1" customWidth="1"/>
    <col min="22" max="22" width="6.7109375" style="234" bestFit="1" customWidth="1"/>
    <col min="23" max="23" width="7.140625" style="234" bestFit="1" customWidth="1"/>
    <col min="24" max="24" width="5.7109375" style="234" bestFit="1" customWidth="1"/>
    <col min="25" max="25" width="5.00390625" style="234" bestFit="1" customWidth="1"/>
    <col min="26" max="26" width="6.00390625" style="234" bestFit="1" customWidth="1"/>
    <col min="27" max="27" width="4.7109375" style="234" bestFit="1" customWidth="1"/>
    <col min="28" max="31" width="4.7109375" style="234" customWidth="1"/>
    <col min="32" max="32" width="7.140625" style="234" bestFit="1" customWidth="1"/>
    <col min="33" max="16384" width="9.140625" style="234" customWidth="1"/>
  </cols>
  <sheetData>
    <row r="1" spans="1:32" ht="12.75">
      <c r="A1" s="231" t="s">
        <v>157</v>
      </c>
      <c r="B1" s="231"/>
      <c r="C1" s="231"/>
      <c r="D1" s="231"/>
      <c r="E1" s="231"/>
      <c r="F1" s="231"/>
      <c r="G1" s="231"/>
      <c r="H1" s="232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</row>
    <row r="2" spans="1:32" ht="12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</row>
    <row r="3" spans="1:32" s="282" customFormat="1" ht="48" customHeight="1">
      <c r="A3" s="280" t="s">
        <v>150</v>
      </c>
      <c r="B3" s="280" t="s">
        <v>19</v>
      </c>
      <c r="C3" s="280" t="s">
        <v>9</v>
      </c>
      <c r="D3" s="280" t="s">
        <v>13</v>
      </c>
      <c r="E3" s="280" t="s">
        <v>6</v>
      </c>
      <c r="F3" s="280" t="s">
        <v>16</v>
      </c>
      <c r="G3" s="280" t="s">
        <v>17</v>
      </c>
      <c r="H3" s="280" t="s">
        <v>3</v>
      </c>
      <c r="I3" s="280" t="s">
        <v>5</v>
      </c>
      <c r="J3" s="280" t="s">
        <v>22</v>
      </c>
      <c r="K3" s="280" t="s">
        <v>126</v>
      </c>
      <c r="L3" s="280" t="s">
        <v>4</v>
      </c>
      <c r="M3" s="280" t="s">
        <v>15</v>
      </c>
      <c r="N3" s="281" t="s">
        <v>314</v>
      </c>
      <c r="O3" s="280" t="s">
        <v>20</v>
      </c>
      <c r="P3" s="280" t="s">
        <v>23</v>
      </c>
      <c r="Q3" s="280" t="s">
        <v>125</v>
      </c>
      <c r="R3" s="280" t="s">
        <v>10</v>
      </c>
      <c r="S3" s="280" t="s">
        <v>11</v>
      </c>
      <c r="T3" s="280" t="s">
        <v>2</v>
      </c>
      <c r="U3" s="280" t="s">
        <v>18</v>
      </c>
      <c r="V3" s="280" t="s">
        <v>8</v>
      </c>
      <c r="W3" s="280" t="s">
        <v>1</v>
      </c>
      <c r="X3" s="280" t="s">
        <v>7</v>
      </c>
      <c r="Y3" s="280" t="s">
        <v>14</v>
      </c>
      <c r="Z3" s="280" t="s">
        <v>24</v>
      </c>
      <c r="AA3" s="280" t="s">
        <v>21</v>
      </c>
      <c r="AB3" s="280" t="s">
        <v>308</v>
      </c>
      <c r="AC3" s="280" t="s">
        <v>309</v>
      </c>
      <c r="AD3" s="280" t="s">
        <v>66</v>
      </c>
      <c r="AE3" s="280" t="s">
        <v>127</v>
      </c>
      <c r="AF3" s="280" t="s">
        <v>151</v>
      </c>
    </row>
    <row r="4" spans="1:32" ht="12.75">
      <c r="A4" t="s">
        <v>158</v>
      </c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2.75">
      <c r="A5" s="235" t="s">
        <v>159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>
        <f>SUM(B5:AE5)</f>
        <v>0</v>
      </c>
    </row>
    <row r="6" spans="1:32" ht="12.75">
      <c r="A6" s="237" t="s">
        <v>160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6">
        <f aca="true" t="shared" si="0" ref="AF6:AF21">SUM(B6:AE6)</f>
        <v>0</v>
      </c>
    </row>
    <row r="7" spans="1:32" ht="12.75">
      <c r="A7" s="235" t="s">
        <v>161</v>
      </c>
      <c r="B7" s="238">
        <f aca="true" t="shared" si="1" ref="B7:Y7">SUM(B5:B6)</f>
        <v>0</v>
      </c>
      <c r="C7" s="238">
        <f t="shared" si="1"/>
        <v>0</v>
      </c>
      <c r="D7" s="238">
        <f t="shared" si="1"/>
        <v>0</v>
      </c>
      <c r="E7" s="238">
        <f t="shared" si="1"/>
        <v>0</v>
      </c>
      <c r="F7" s="238">
        <f t="shared" si="1"/>
        <v>0</v>
      </c>
      <c r="G7" s="238">
        <f t="shared" si="1"/>
        <v>0</v>
      </c>
      <c r="H7" s="238">
        <f t="shared" si="1"/>
        <v>0</v>
      </c>
      <c r="I7" s="238">
        <f t="shared" si="1"/>
        <v>0</v>
      </c>
      <c r="J7" s="238">
        <f t="shared" si="1"/>
        <v>0</v>
      </c>
      <c r="K7" s="238"/>
      <c r="L7" s="238">
        <f t="shared" si="1"/>
        <v>0</v>
      </c>
      <c r="M7" s="238">
        <f t="shared" si="1"/>
        <v>0</v>
      </c>
      <c r="N7" s="238">
        <f>SUM(N5:N6)</f>
        <v>0</v>
      </c>
      <c r="O7" s="238">
        <f t="shared" si="1"/>
        <v>0</v>
      </c>
      <c r="P7" s="238">
        <f t="shared" si="1"/>
        <v>0</v>
      </c>
      <c r="Q7" s="238"/>
      <c r="R7" s="238">
        <f t="shared" si="1"/>
        <v>0</v>
      </c>
      <c r="S7" s="238">
        <f t="shared" si="1"/>
        <v>0</v>
      </c>
      <c r="T7" s="238">
        <f t="shared" si="1"/>
        <v>0</v>
      </c>
      <c r="U7" s="238">
        <f t="shared" si="1"/>
        <v>0</v>
      </c>
      <c r="V7" s="238">
        <f t="shared" si="1"/>
        <v>0</v>
      </c>
      <c r="W7" s="238">
        <f t="shared" si="1"/>
        <v>0</v>
      </c>
      <c r="X7" s="238">
        <f t="shared" si="1"/>
        <v>0</v>
      </c>
      <c r="Y7" s="238">
        <f t="shared" si="1"/>
        <v>0</v>
      </c>
      <c r="Z7" s="238">
        <f aca="true" t="shared" si="2" ref="Z7:AE7">SUM(Z5:Z6)</f>
        <v>0</v>
      </c>
      <c r="AA7" s="238">
        <f t="shared" si="2"/>
        <v>0</v>
      </c>
      <c r="AB7" s="238">
        <f t="shared" si="2"/>
        <v>0</v>
      </c>
      <c r="AC7" s="238">
        <f t="shared" si="2"/>
        <v>0</v>
      </c>
      <c r="AD7" s="238">
        <f t="shared" si="2"/>
        <v>0</v>
      </c>
      <c r="AE7" s="238">
        <f t="shared" si="2"/>
        <v>0</v>
      </c>
      <c r="AF7" s="236">
        <f t="shared" si="0"/>
        <v>0</v>
      </c>
    </row>
    <row r="8" spans="1:32" s="240" customFormat="1" ht="12.75">
      <c r="A8" s="239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6">
        <f t="shared" si="0"/>
        <v>0</v>
      </c>
    </row>
    <row r="9" spans="1:32" s="240" customFormat="1" ht="12.75">
      <c r="A9" s="235" t="s">
        <v>162</v>
      </c>
      <c r="B9" s="238"/>
      <c r="C9" s="238"/>
      <c r="D9" s="238"/>
      <c r="E9" s="238">
        <f>8.1</f>
        <v>8.1</v>
      </c>
      <c r="F9" s="238"/>
      <c r="G9" s="238"/>
      <c r="H9" s="238">
        <v>2.8</v>
      </c>
      <c r="I9" s="238">
        <v>5.7</v>
      </c>
      <c r="J9" s="238"/>
      <c r="K9" s="238"/>
      <c r="L9" s="238">
        <v>1.5</v>
      </c>
      <c r="M9" s="238"/>
      <c r="N9" s="238">
        <f>1.8+10.9</f>
        <v>12.700000000000001</v>
      </c>
      <c r="O9" s="238"/>
      <c r="P9" s="238"/>
      <c r="Q9" s="238"/>
      <c r="R9" s="238">
        <v>19.5</v>
      </c>
      <c r="S9" s="238">
        <f>1.4+0.8+0.4</f>
        <v>2.6</v>
      </c>
      <c r="T9" s="238">
        <f>1.3+0.9+4.5</f>
        <v>6.7</v>
      </c>
      <c r="U9" s="238"/>
      <c r="V9" s="238"/>
      <c r="W9" s="238">
        <v>17.8</v>
      </c>
      <c r="X9" s="238"/>
      <c r="Y9" s="238"/>
      <c r="Z9" s="238"/>
      <c r="AA9" s="238">
        <v>8.9</v>
      </c>
      <c r="AB9" s="238"/>
      <c r="AC9" s="238"/>
      <c r="AD9" s="238"/>
      <c r="AE9" s="238"/>
      <c r="AF9" s="236">
        <f t="shared" si="0"/>
        <v>86.30000000000001</v>
      </c>
    </row>
    <row r="10" spans="1:32" s="240" customFormat="1" ht="12.75">
      <c r="A10" s="235" t="s">
        <v>162</v>
      </c>
      <c r="B10" s="238"/>
      <c r="C10" s="238"/>
      <c r="D10" s="238"/>
      <c r="E10" s="238">
        <f aca="true" t="shared" si="3" ref="E10:AA10">E9*0.75</f>
        <v>6.074999999999999</v>
      </c>
      <c r="F10" s="238">
        <f t="shared" si="3"/>
        <v>0</v>
      </c>
      <c r="G10" s="238">
        <f t="shared" si="3"/>
        <v>0</v>
      </c>
      <c r="H10" s="238">
        <f t="shared" si="3"/>
        <v>2.0999999999999996</v>
      </c>
      <c r="I10" s="238">
        <f t="shared" si="3"/>
        <v>4.275</v>
      </c>
      <c r="J10" s="238">
        <f t="shared" si="3"/>
        <v>0</v>
      </c>
      <c r="K10" s="238"/>
      <c r="L10" s="238">
        <f t="shared" si="3"/>
        <v>1.125</v>
      </c>
      <c r="M10" s="238">
        <f t="shared" si="3"/>
        <v>0</v>
      </c>
      <c r="N10" s="238">
        <f>N9*0.75</f>
        <v>9.525</v>
      </c>
      <c r="O10" s="238">
        <f t="shared" si="3"/>
        <v>0</v>
      </c>
      <c r="P10" s="238">
        <f t="shared" si="3"/>
        <v>0</v>
      </c>
      <c r="Q10" s="238"/>
      <c r="R10" s="238">
        <f t="shared" si="3"/>
        <v>14.625</v>
      </c>
      <c r="S10" s="238">
        <f t="shared" si="3"/>
        <v>1.9500000000000002</v>
      </c>
      <c r="T10" s="238">
        <f t="shared" si="3"/>
        <v>5.025</v>
      </c>
      <c r="U10" s="238">
        <f t="shared" si="3"/>
        <v>0</v>
      </c>
      <c r="V10" s="238">
        <f t="shared" si="3"/>
        <v>0</v>
      </c>
      <c r="W10" s="238">
        <f t="shared" si="3"/>
        <v>13.350000000000001</v>
      </c>
      <c r="X10" s="238">
        <f t="shared" si="3"/>
        <v>0</v>
      </c>
      <c r="Y10" s="238">
        <f t="shared" si="3"/>
        <v>0</v>
      </c>
      <c r="Z10" s="238">
        <f t="shared" si="3"/>
        <v>0</v>
      </c>
      <c r="AA10" s="238">
        <f t="shared" si="3"/>
        <v>6.675000000000001</v>
      </c>
      <c r="AB10" s="238"/>
      <c r="AC10" s="238"/>
      <c r="AD10" s="238"/>
      <c r="AE10" s="238"/>
      <c r="AF10" s="236">
        <f t="shared" si="0"/>
        <v>64.72500000000001</v>
      </c>
    </row>
    <row r="11" spans="1:32" s="240" customFormat="1" ht="12.75">
      <c r="A11" s="239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6">
        <f t="shared" si="0"/>
        <v>0</v>
      </c>
    </row>
    <row r="12" spans="1:32" s="240" customFormat="1" ht="12.75">
      <c r="A12" s="241" t="s">
        <v>163</v>
      </c>
      <c r="B12" s="238"/>
      <c r="C12" s="238">
        <v>101</v>
      </c>
      <c r="D12" s="238"/>
      <c r="E12" s="238">
        <v>3</v>
      </c>
      <c r="F12" s="238"/>
      <c r="G12" s="238"/>
      <c r="H12" s="238"/>
      <c r="I12" s="238"/>
      <c r="J12" s="238"/>
      <c r="K12" s="238"/>
      <c r="L12" s="238">
        <v>24</v>
      </c>
      <c r="M12" s="238"/>
      <c r="N12" s="238"/>
      <c r="O12" s="238"/>
      <c r="P12" s="238"/>
      <c r="Q12" s="238"/>
      <c r="R12" s="238"/>
      <c r="S12" s="238"/>
      <c r="T12" s="238">
        <v>62</v>
      </c>
      <c r="U12" s="238"/>
      <c r="V12" s="238"/>
      <c r="W12" s="238">
        <v>15</v>
      </c>
      <c r="X12" s="238"/>
      <c r="Y12" s="238"/>
      <c r="Z12" s="238"/>
      <c r="AA12" s="238"/>
      <c r="AB12" s="238"/>
      <c r="AC12" s="238"/>
      <c r="AD12" s="238"/>
      <c r="AE12" s="238"/>
      <c r="AF12" s="236">
        <f t="shared" si="0"/>
        <v>205</v>
      </c>
    </row>
    <row r="13" spans="1:32" s="240" customFormat="1" ht="12.75">
      <c r="A13" s="241" t="s">
        <v>164</v>
      </c>
      <c r="B13" s="238">
        <f>B12/$AF$12*('[1]Salaries Dpt'!$D$13-60)</f>
        <v>0</v>
      </c>
      <c r="C13" s="238">
        <f>C12/$AF$12*('[1]Salaries Dpt'!$D$13-60)</f>
        <v>90.3853976097561</v>
      </c>
      <c r="D13" s="238">
        <f>D12/$AF$12*('[1]Salaries Dpt'!$D$13-60)</f>
        <v>0</v>
      </c>
      <c r="E13" s="238">
        <f>E12/$AF$12*('[1]Salaries Dpt'!$D$13-60)</f>
        <v>2.684714780487805</v>
      </c>
      <c r="F13" s="238">
        <f>F12/$AF$12*('[1]Salaries Dpt'!$D$13-60)</f>
        <v>0</v>
      </c>
      <c r="G13" s="238">
        <f>G12/$AF$12*('[1]Salaries Dpt'!$D$13-60)</f>
        <v>0</v>
      </c>
      <c r="H13" s="238">
        <f>H12/$AF$12*('[1]Salaries Dpt'!$D$13-60)</f>
        <v>0</v>
      </c>
      <c r="I13" s="238">
        <f>I12/$AF$12*('[1]Salaries Dpt'!$D$13-60)</f>
        <v>0</v>
      </c>
      <c r="J13" s="238">
        <f>J12/$AF$12*('[1]Salaries Dpt'!$D$13-60)</f>
        <v>0</v>
      </c>
      <c r="K13" s="238"/>
      <c r="L13" s="238">
        <f>L12/$AF$12*('[1]Salaries Dpt'!$D$13-60)</f>
        <v>21.47771824390244</v>
      </c>
      <c r="M13" s="238">
        <f>M12/$AF$12*('[1]Salaries Dpt'!$D$13-60)</f>
        <v>0</v>
      </c>
      <c r="N13" s="238">
        <f>N12/$AF$12*('[1]Salaries Dpt'!$D$13-60)</f>
        <v>0</v>
      </c>
      <c r="O13" s="238">
        <f>O12/$AF$12*('[1]Salaries Dpt'!$D$13-60)</f>
        <v>0</v>
      </c>
      <c r="P13" s="238">
        <f>P12/$AF$12*('[1]Salaries Dpt'!$D$13-60)</f>
        <v>0</v>
      </c>
      <c r="Q13" s="238"/>
      <c r="R13" s="238">
        <f>R12/$AF$12*('[1]Salaries Dpt'!$D$13-60)</f>
        <v>0</v>
      </c>
      <c r="S13" s="238">
        <f>S12/$AF$12*('[1]Salaries Dpt'!$D$13-60)</f>
        <v>0</v>
      </c>
      <c r="T13" s="238">
        <f>T12/$AF$12*('[1]Salaries Dpt'!$D$13-60)</f>
        <v>55.484105463414636</v>
      </c>
      <c r="U13" s="238">
        <f>U12/$AF$12*('[1]Salaries Dpt'!$D$13-60)</f>
        <v>0</v>
      </c>
      <c r="V13" s="238">
        <f>V12/$AF$12*('[1]Salaries Dpt'!$D$13-60)</f>
        <v>0</v>
      </c>
      <c r="W13" s="238">
        <f>W12/$AF$12*('[1]Salaries Dpt'!$D$13-60)</f>
        <v>13.423573902439024</v>
      </c>
      <c r="X13" s="238">
        <f>X12/$AF$12*('[1]Salaries Dpt'!$D$13-60)</f>
        <v>0</v>
      </c>
      <c r="Y13" s="238">
        <f>Y12/$AF$12*('[1]Salaries Dpt'!$D$13-60)</f>
        <v>0</v>
      </c>
      <c r="Z13" s="238">
        <f>Z12/$AF$12*('[1]Salaries Dpt'!$D$13-60)</f>
        <v>0</v>
      </c>
      <c r="AA13" s="238">
        <f>AA12/$AF$12*('[1]Salaries Dpt'!$D$13-60)</f>
        <v>0</v>
      </c>
      <c r="AB13" s="238"/>
      <c r="AC13" s="238"/>
      <c r="AD13" s="238"/>
      <c r="AE13" s="238"/>
      <c r="AF13" s="236">
        <f t="shared" si="0"/>
        <v>183.45551</v>
      </c>
    </row>
    <row r="14" spans="1:32" s="240" customFormat="1" ht="12.75">
      <c r="A14" s="239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6">
        <f t="shared" si="0"/>
        <v>0</v>
      </c>
    </row>
    <row r="15" spans="1:32" s="240" customFormat="1" ht="12.75">
      <c r="A15" s="242" t="s">
        <v>165</v>
      </c>
      <c r="B15" s="238">
        <f>B12/$AF$12*'[1]Travel Dpt'!$D$22</f>
        <v>0</v>
      </c>
      <c r="C15" s="238">
        <f>C12/$AF$12*'[1]Travel Dpt'!$D$22</f>
        <v>7.1220273170731705</v>
      </c>
      <c r="D15" s="238">
        <f>D12/$AF$12*'[1]Travel Dpt'!$D$22</f>
        <v>0</v>
      </c>
      <c r="E15" s="238">
        <f>E12/$AF$12*'[1]Travel Dpt'!$D$22</f>
        <v>0.21154536585365855</v>
      </c>
      <c r="F15" s="238">
        <f>F12/$AF$12*'[1]Travel Dpt'!$D$22</f>
        <v>0</v>
      </c>
      <c r="G15" s="238">
        <f>G12/$AF$12*'[1]Travel Dpt'!$D$22</f>
        <v>0</v>
      </c>
      <c r="H15" s="238">
        <f>H12/$AF$12*'[1]Travel Dpt'!$D$22</f>
        <v>0</v>
      </c>
      <c r="I15" s="238">
        <f>I12/$AF$12*'[1]Travel Dpt'!$D$22</f>
        <v>0</v>
      </c>
      <c r="J15" s="238">
        <f>J12/$AF$12*'[1]Travel Dpt'!$D$22</f>
        <v>0</v>
      </c>
      <c r="K15" s="238"/>
      <c r="L15" s="238">
        <f>L12/$AF$12*'[1]Travel Dpt'!$D$22</f>
        <v>1.6923629268292684</v>
      </c>
      <c r="M15" s="238">
        <f>M12/$AF$12*'[1]Travel Dpt'!$D$22</f>
        <v>0</v>
      </c>
      <c r="N15" s="238">
        <f>N12/$AF$12*'[1]Travel Dpt'!$D$22</f>
        <v>0</v>
      </c>
      <c r="O15" s="238">
        <f>O12/$AF$12*'[1]Travel Dpt'!$D$22</f>
        <v>0</v>
      </c>
      <c r="P15" s="238">
        <f>P12/$AF$12*'[1]Travel Dpt'!$D$22</f>
        <v>0</v>
      </c>
      <c r="Q15" s="238"/>
      <c r="R15" s="238">
        <f>R12/$AF$12*'[1]Travel Dpt'!$D$22</f>
        <v>0</v>
      </c>
      <c r="S15" s="238">
        <f>S12/$AF$12*'[1]Travel Dpt'!$D$22</f>
        <v>0</v>
      </c>
      <c r="T15" s="238">
        <f>T12/$AF$12*'[1]Travel Dpt'!$D$22</f>
        <v>4.37193756097561</v>
      </c>
      <c r="U15" s="238">
        <f>U12/$AF$12*'[1]Travel Dpt'!$D$22</f>
        <v>0</v>
      </c>
      <c r="V15" s="238">
        <f>V12/$AF$12*'[1]Travel Dpt'!$D$22</f>
        <v>0</v>
      </c>
      <c r="W15" s="238">
        <f>W12/$AF$12*'[1]Travel Dpt'!$D$22</f>
        <v>1.0577268292682926</v>
      </c>
      <c r="X15" s="238">
        <f>X12/$AF$12*'[1]Travel Dpt'!$D$22</f>
        <v>0</v>
      </c>
      <c r="Y15" s="238">
        <f>Y12/$AF$12*'[1]Travel Dpt'!$D$22</f>
        <v>0</v>
      </c>
      <c r="Z15" s="238">
        <f>Z12/$AF$12*'[1]Travel Dpt'!$D$22</f>
        <v>0</v>
      </c>
      <c r="AA15" s="238">
        <f>AA12/$AF$12*'[1]Travel Dpt'!$D$22</f>
        <v>0</v>
      </c>
      <c r="AB15" s="238"/>
      <c r="AC15" s="238"/>
      <c r="AD15" s="238"/>
      <c r="AE15" s="238"/>
      <c r="AF15" s="236">
        <f t="shared" si="0"/>
        <v>14.455599999999999</v>
      </c>
    </row>
    <row r="16" spans="1:32" s="240" customFormat="1" ht="12.75">
      <c r="A16" s="239"/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  <c r="AF16" s="236">
        <f t="shared" si="0"/>
        <v>0</v>
      </c>
    </row>
    <row r="17" spans="1:32" s="240" customFormat="1" ht="12.75">
      <c r="A17" s="418" t="s">
        <v>391</v>
      </c>
      <c r="B17" s="446" t="e">
        <f>B5/$AF$5*'Salaries Dpt'!$J$47</f>
        <v>#DIV/0!</v>
      </c>
      <c r="C17" s="238" t="e">
        <f>C5/$AF$5*'Salaries Dpt'!$J$47</f>
        <v>#DIV/0!</v>
      </c>
      <c r="D17" s="238" t="e">
        <f>D5/$AF$5*'Salaries Dpt'!$J$47</f>
        <v>#DIV/0!</v>
      </c>
      <c r="E17" s="238" t="e">
        <f>E5/$AF$5*'Salaries Dpt'!$J$47</f>
        <v>#DIV/0!</v>
      </c>
      <c r="F17" s="238" t="e">
        <f>F5/$AF$5*'Salaries Dpt'!$J$47</f>
        <v>#DIV/0!</v>
      </c>
      <c r="G17" s="238" t="e">
        <f>G5/$AF$5*'Salaries Dpt'!$J$47</f>
        <v>#DIV/0!</v>
      </c>
      <c r="H17" s="238" t="e">
        <f>H5/$AF$5*'Salaries Dpt'!$J$47</f>
        <v>#DIV/0!</v>
      </c>
      <c r="I17" s="238" t="e">
        <f>I5/$AF$5*'Salaries Dpt'!$J$47</f>
        <v>#DIV/0!</v>
      </c>
      <c r="J17" s="238" t="e">
        <f>J5/$AF$5*'Salaries Dpt'!$J$47</f>
        <v>#DIV/0!</v>
      </c>
      <c r="K17" s="238" t="e">
        <f>K5/$AF$5*'Salaries Dpt'!$J$47</f>
        <v>#DIV/0!</v>
      </c>
      <c r="L17" s="238" t="e">
        <f>L5/$AF$5*'Salaries Dpt'!$J$47</f>
        <v>#DIV/0!</v>
      </c>
      <c r="M17" s="238" t="e">
        <f>M5/$AF$5*'Salaries Dpt'!$J$47</f>
        <v>#DIV/0!</v>
      </c>
      <c r="N17" s="238" t="e">
        <f>N5/$AF$5*'Salaries Dpt'!$J$47</f>
        <v>#DIV/0!</v>
      </c>
      <c r="O17" s="238" t="e">
        <f>O5/$AF$5*'Salaries Dpt'!$J$47</f>
        <v>#DIV/0!</v>
      </c>
      <c r="P17" s="238" t="e">
        <f>P5/$AF$5*'Salaries Dpt'!$J$47</f>
        <v>#DIV/0!</v>
      </c>
      <c r="Q17" s="238" t="e">
        <f>Q5/$AF$5*'Salaries Dpt'!$J$47</f>
        <v>#DIV/0!</v>
      </c>
      <c r="R17" s="238" t="e">
        <f>R5/$AF$5*'Salaries Dpt'!$J$47</f>
        <v>#DIV/0!</v>
      </c>
      <c r="S17" s="238" t="e">
        <f>S5/$AF$5*'Salaries Dpt'!$J$47</f>
        <v>#DIV/0!</v>
      </c>
      <c r="T17" s="238" t="e">
        <f>T5/$AF$5*'Salaries Dpt'!$J$47</f>
        <v>#DIV/0!</v>
      </c>
      <c r="U17" s="238" t="e">
        <f>U5/$AF$5*'Salaries Dpt'!$J$47</f>
        <v>#DIV/0!</v>
      </c>
      <c r="V17" s="238" t="e">
        <f>V5/$AF$5*'Salaries Dpt'!$J$47</f>
        <v>#DIV/0!</v>
      </c>
      <c r="W17" s="238" t="e">
        <f>W5/$AF$5*'Salaries Dpt'!$J$47</f>
        <v>#DIV/0!</v>
      </c>
      <c r="X17" s="238" t="e">
        <f>X5/$AF$5*'Salaries Dpt'!$J$47</f>
        <v>#DIV/0!</v>
      </c>
      <c r="Y17" s="238" t="e">
        <f>Y5/$AF$5*'Salaries Dpt'!$J$47</f>
        <v>#DIV/0!</v>
      </c>
      <c r="Z17" s="238" t="e">
        <f>Z5/$AF$5*'Salaries Dpt'!$J$47</f>
        <v>#DIV/0!</v>
      </c>
      <c r="AA17" s="238" t="e">
        <f>AA5/$AF$5*'Salaries Dpt'!$J$47</f>
        <v>#DIV/0!</v>
      </c>
      <c r="AB17" s="238" t="e">
        <f>AB5/$AF$5*'Salaries Dpt'!$J$47</f>
        <v>#DIV/0!</v>
      </c>
      <c r="AC17" s="238" t="e">
        <f>AC5/$AF$5*'Salaries Dpt'!$J$47</f>
        <v>#DIV/0!</v>
      </c>
      <c r="AD17" s="238" t="e">
        <f>AD5/$AF$5*'Salaries Dpt'!$J$47</f>
        <v>#DIV/0!</v>
      </c>
      <c r="AE17" s="238" t="e">
        <f>AE5/$AF$5*'Salaries Dpt'!$J$47</f>
        <v>#DIV/0!</v>
      </c>
      <c r="AF17" s="236" t="e">
        <f t="shared" si="0"/>
        <v>#DIV/0!</v>
      </c>
    </row>
    <row r="18" spans="1:32" s="240" customFormat="1" ht="12.75">
      <c r="A18" s="418" t="s">
        <v>392</v>
      </c>
      <c r="B18" s="238">
        <f>(B6+B13)/($AF$6+$AF$13)*'Salaries Dpt'!$K$47</f>
        <v>0</v>
      </c>
      <c r="C18" s="238">
        <f>(C6+C13)/($AF$6+$AF$13)*'Salaries Dpt'!$K$47</f>
        <v>83.69504126460377</v>
      </c>
      <c r="D18" s="238">
        <f>(D6+D13)/($AF$6+$AF$13)*'Salaries Dpt'!$K$47</f>
        <v>0</v>
      </c>
      <c r="E18" s="238">
        <f>(E6+E13)/($AF$6+$AF$13)*'Salaries Dpt'!$K$47</f>
        <v>2.4859913246912013</v>
      </c>
      <c r="F18" s="238">
        <f>(F6+F13)/($AF$6+$AF$13)*'Salaries Dpt'!$K$47</f>
        <v>0</v>
      </c>
      <c r="G18" s="238">
        <f>(G6+G13)/($AF$6+$AF$13)*'Salaries Dpt'!$K$47</f>
        <v>0</v>
      </c>
      <c r="H18" s="238">
        <f>(H6+H13)/($AF$6+$AF$13)*'Salaries Dpt'!$K$47</f>
        <v>0</v>
      </c>
      <c r="I18" s="238">
        <f>(I6+I13)/($AF$6+$AF$13)*'Salaries Dpt'!$K$47</f>
        <v>0</v>
      </c>
      <c r="J18" s="238">
        <f>(J6+J13)/($AF$6+$AF$13)*'Salaries Dpt'!$K$47</f>
        <v>0</v>
      </c>
      <c r="K18" s="238">
        <f>(K6+K13)/($AF$6+$AF$13)*'Salaries Dpt'!$K$47</f>
        <v>0</v>
      </c>
      <c r="L18" s="238">
        <f>(L6+L13)/($AF$6+$AF$13)*'Salaries Dpt'!$K$47</f>
        <v>19.88793059752961</v>
      </c>
      <c r="M18" s="238">
        <f>(M6+M13)/($AF$6+$AF$13)*'Salaries Dpt'!$K$47</f>
        <v>0</v>
      </c>
      <c r="N18" s="238">
        <f>(N6+N13)/($AF$6+$AF$13)*'Salaries Dpt'!$K$47</f>
        <v>0</v>
      </c>
      <c r="O18" s="238">
        <f>(O6+O13)/($AF$6+$AF$13)*'Salaries Dpt'!$K$47</f>
        <v>0</v>
      </c>
      <c r="P18" s="238">
        <f>(P6+P13)/($AF$6+$AF$13)*'Salaries Dpt'!$K$47</f>
        <v>0</v>
      </c>
      <c r="Q18" s="238">
        <f>(Q6+Q13)/($AF$6+$AF$13)*'Salaries Dpt'!$K$47</f>
        <v>0</v>
      </c>
      <c r="R18" s="238">
        <f>(R6+R13)/($AF$6+$AF$13)*'Salaries Dpt'!$K$47</f>
        <v>0</v>
      </c>
      <c r="S18" s="238">
        <f>(S6+S13)/($AF$6+$AF$13)*'Salaries Dpt'!$K$47</f>
        <v>0</v>
      </c>
      <c r="T18" s="238">
        <f>(T6+T13)/($AF$6+$AF$13)*'Salaries Dpt'!$K$47</f>
        <v>51.37715404361816</v>
      </c>
      <c r="U18" s="238">
        <f>(U6+U13)/($AF$6+$AF$13)*'Salaries Dpt'!$K$47</f>
        <v>0</v>
      </c>
      <c r="V18" s="238">
        <f>(V6+V13)/($AF$6+$AF$13)*'Salaries Dpt'!$K$47</f>
        <v>0</v>
      </c>
      <c r="W18" s="238">
        <f>(W6+W13)/($AF$6+$AF$13)*'Salaries Dpt'!$K$47</f>
        <v>12.429956623456006</v>
      </c>
      <c r="X18" s="238">
        <f>(X6+X13)/($AF$6+$AF$13)*'Salaries Dpt'!$K$47</f>
        <v>0</v>
      </c>
      <c r="Y18" s="238">
        <f>(Y6+Y13)/($AF$6+$AF$13)*'Salaries Dpt'!$K$47</f>
        <v>0</v>
      </c>
      <c r="Z18" s="238">
        <f>(Z6+Z13)/($AF$6+$AF$13)*'Salaries Dpt'!$K$47</f>
        <v>0</v>
      </c>
      <c r="AA18" s="238">
        <f>(AA6+AA13)/($AF$6+$AF$13)*'Salaries Dpt'!$K$47</f>
        <v>0</v>
      </c>
      <c r="AB18" s="238">
        <f>(AB6+AB13)/($AF$6+$AF$13)*'Salaries Dpt'!$K$47</f>
        <v>0</v>
      </c>
      <c r="AC18" s="238">
        <f>(AC6+AC13)/($AF$6+$AF$13)*'Salaries Dpt'!$K$47</f>
        <v>0</v>
      </c>
      <c r="AD18" s="238">
        <f>(AD6+AD13)/($AF$6+$AF$13)*'Salaries Dpt'!$K$47</f>
        <v>0</v>
      </c>
      <c r="AE18" s="238">
        <f>(AE6+AE13)/($AF$6+$AF$13)*'Salaries Dpt'!$K$47</f>
        <v>0</v>
      </c>
      <c r="AF18" s="236">
        <f t="shared" si="0"/>
        <v>169.87607385389876</v>
      </c>
    </row>
    <row r="19" spans="1:32" s="244" customFormat="1" ht="12.75">
      <c r="A19" s="418" t="s">
        <v>393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>
        <f>+'Salaries Dpt'!L47</f>
        <v>60.98115471678416</v>
      </c>
      <c r="AE19" s="243"/>
      <c r="AF19" s="236">
        <f t="shared" si="0"/>
        <v>60.98115471678416</v>
      </c>
    </row>
    <row r="20" spans="2:32" ht="12.75" customHeight="1"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36">
        <f t="shared" si="0"/>
        <v>0</v>
      </c>
    </row>
    <row r="21" spans="1:32" ht="12.75">
      <c r="A21" s="419" t="s">
        <v>166</v>
      </c>
      <c r="B21" s="240" t="e">
        <f aca="true" t="shared" si="4" ref="B21:AA21">SUM(B7:B19)</f>
        <v>#DIV/0!</v>
      </c>
      <c r="C21" s="240" t="e">
        <f t="shared" si="4"/>
        <v>#DIV/0!</v>
      </c>
      <c r="D21" s="240" t="e">
        <f t="shared" si="4"/>
        <v>#DIV/0!</v>
      </c>
      <c r="E21" s="240" t="e">
        <f t="shared" si="4"/>
        <v>#DIV/0!</v>
      </c>
      <c r="F21" s="240" t="e">
        <f t="shared" si="4"/>
        <v>#DIV/0!</v>
      </c>
      <c r="G21" s="240" t="e">
        <f t="shared" si="4"/>
        <v>#DIV/0!</v>
      </c>
      <c r="H21" s="240" t="e">
        <f t="shared" si="4"/>
        <v>#DIV/0!</v>
      </c>
      <c r="I21" s="240" t="e">
        <f t="shared" si="4"/>
        <v>#DIV/0!</v>
      </c>
      <c r="J21" s="240" t="e">
        <f t="shared" si="4"/>
        <v>#DIV/0!</v>
      </c>
      <c r="K21" s="240"/>
      <c r="L21" s="240" t="e">
        <f t="shared" si="4"/>
        <v>#DIV/0!</v>
      </c>
      <c r="M21" s="240" t="e">
        <f t="shared" si="4"/>
        <v>#DIV/0!</v>
      </c>
      <c r="N21" s="240" t="e">
        <f>SUM(N7:N19)</f>
        <v>#DIV/0!</v>
      </c>
      <c r="O21" s="240" t="e">
        <f t="shared" si="4"/>
        <v>#DIV/0!</v>
      </c>
      <c r="P21" s="240" t="e">
        <f t="shared" si="4"/>
        <v>#DIV/0!</v>
      </c>
      <c r="Q21" s="240"/>
      <c r="R21" s="240" t="e">
        <f t="shared" si="4"/>
        <v>#DIV/0!</v>
      </c>
      <c r="S21" s="240" t="e">
        <f t="shared" si="4"/>
        <v>#DIV/0!</v>
      </c>
      <c r="T21" s="240" t="e">
        <f t="shared" si="4"/>
        <v>#DIV/0!</v>
      </c>
      <c r="U21" s="240" t="e">
        <f t="shared" si="4"/>
        <v>#DIV/0!</v>
      </c>
      <c r="V21" s="240" t="e">
        <f t="shared" si="4"/>
        <v>#DIV/0!</v>
      </c>
      <c r="W21" s="240" t="e">
        <f t="shared" si="4"/>
        <v>#DIV/0!</v>
      </c>
      <c r="X21" s="240" t="e">
        <f t="shared" si="4"/>
        <v>#DIV/0!</v>
      </c>
      <c r="Y21" s="240" t="e">
        <f t="shared" si="4"/>
        <v>#DIV/0!</v>
      </c>
      <c r="Z21" s="240" t="e">
        <f t="shared" si="4"/>
        <v>#DIV/0!</v>
      </c>
      <c r="AA21" s="240" t="e">
        <f t="shared" si="4"/>
        <v>#DIV/0!</v>
      </c>
      <c r="AB21" s="240"/>
      <c r="AC21" s="240"/>
      <c r="AD21" s="240"/>
      <c r="AE21" s="240"/>
      <c r="AF21" s="236" t="e">
        <f t="shared" si="0"/>
        <v>#DIV/0!</v>
      </c>
    </row>
    <row r="24" ht="15" customHeight="1"/>
  </sheetData>
  <printOptions/>
  <pageMargins left="0.28" right="0.2" top="0.49" bottom="0.6" header="0.23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de Courcel</dc:creator>
  <cp:keywords/>
  <dc:description/>
  <cp:lastModifiedBy>ETSI Secretariat</cp:lastModifiedBy>
  <cp:lastPrinted>2000-10-21T11:19:44Z</cp:lastPrinted>
  <dcterms:created xsi:type="dcterms:W3CDTF">2000-08-29T12:13:35Z</dcterms:created>
  <dcterms:modified xsi:type="dcterms:W3CDTF">2001-01-17T10:22:39Z</dcterms:modified>
  <cp:category/>
  <cp:version/>
  <cp:contentType/>
  <cp:contentStatus/>
</cp:coreProperties>
</file>