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44525" concurrentCalc="0"/>
</workbook>
</file>

<file path=xl/sharedStrings.xml><?xml version="1.0" encoding="utf-8"?>
<sst xmlns="http://schemas.openxmlformats.org/spreadsheetml/2006/main" count="89">
  <si>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</si>
  <si>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</si>
  <si>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</si>
  <si>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</si>
  <si>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</si>
  <si>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</si>
  <si>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</si>
  <si>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</si>
  <si>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</si>
  <si>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</si>
  <si>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</si>
  <si>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</si>
  <si>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</si>
  <si>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</si>
  <si>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</si>
  <si>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</si>
  <si>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</si>
  <si>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</si>
  <si>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</si>
  <si>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</si>
  <si>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</si>
  <si>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</si>
  <si>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</si>
  <si>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</si>
  <si>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v11</t>
  </si>
  <si>
    <t>Samsung scen 1-6</t>
  </si>
  <si>
    <t>v12</t>
  </si>
  <si>
    <r>
      <rPr>
        <b/>
        <sz val="10"/>
        <rFont val="Calibri"/>
        <charset val="129"/>
      </rPr>
      <t>D</t>
    </r>
    <r>
      <rPr>
        <b/>
        <sz val="10"/>
        <rFont val="Calibri"/>
        <charset val="134"/>
      </rPr>
      <t>OCOMO Scen19-24(new)</t>
    </r>
  </si>
  <si>
    <t>v13</t>
  </si>
  <si>
    <t>OPPO scen 1-6</t>
  </si>
  <si>
    <t>v14</t>
  </si>
  <si>
    <t>Intel scen 1-18</t>
  </si>
  <si>
    <t>v15</t>
  </si>
  <si>
    <t>Intel scen 1-18 (Updated results)</t>
  </si>
  <si>
    <t>v16</t>
  </si>
  <si>
    <t>Sony Scen 1-12 (Updated results)</t>
  </si>
  <si>
    <t>v17</t>
  </si>
  <si>
    <t>ZTE Scen 2/4/6/8/10/12/14/16(Updated results)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</si>
  <si>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</si>
  <si>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</si>
  <si>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</si>
  <si>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</si>
  <si>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</si>
  <si>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</si>
  <si>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</si>
  <si>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</si>
  <si>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</si>
  <si>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</si>
  <si>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</si>
  <si>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</si>
  <si>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</si>
  <si>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</si>
  <si>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</si>
  <si>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</si>
  <si>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</si>
  <si>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</si>
  <si>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</si>
  <si>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</si>
  <si>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</si>
  <si>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r>
      <rPr>
        <sz val="11"/>
        <color theme="1"/>
        <charset val="134"/>
      </rPr>
      <t>S</t>
    </r>
    <r>
      <rPr>
        <sz val="11"/>
        <color theme="1"/>
        <rFont val="Calibri"/>
        <charset val="129"/>
      </rPr>
      <t>amsung</t>
    </r>
  </si>
  <si>
    <t>NO</t>
  </si>
  <si>
    <t>OPPO</t>
  </si>
  <si>
    <t>Intel</t>
  </si>
  <si>
    <t>NA</t>
  </si>
  <si>
    <t>no</t>
  </si>
  <si>
    <t>Intel (updated)</t>
  </si>
  <si>
    <t>Sony (updated)</t>
  </si>
  <si>
    <t>n..a.</t>
  </si>
  <si>
    <t>n</t>
  </si>
  <si>
    <t>ZTE</t>
  </si>
  <si>
    <t xml:space="preserve">Intel </t>
  </si>
  <si>
    <t>yes</t>
  </si>
  <si>
    <t>ZTE(updated)</t>
  </si>
  <si>
    <t>HW/HiSi</t>
  </si>
  <si>
    <t>not valid, because (N1=N2) &gt; 4.5</t>
  </si>
  <si>
    <t>0 (N1=4.5)</t>
  </si>
  <si>
    <t>Impossible</t>
  </si>
  <si>
    <t>n.a</t>
  </si>
  <si>
    <t>not possible</t>
  </si>
  <si>
    <t>na</t>
  </si>
  <si>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OCOMO</t>
    </r>
  </si>
  <si>
    <r>
      <rPr>
        <sz val="11"/>
        <color theme="1"/>
        <rFont val="Calibri"/>
        <charset val="134"/>
      </rPr>
      <t>n</t>
    </r>
    <r>
      <rPr>
        <sz val="11"/>
        <color theme="1"/>
        <rFont val="Calibri"/>
        <charset val="134"/>
      </rPr>
      <t>.a.</t>
    </r>
  </si>
  <si>
    <r>
      <rPr>
        <sz val="11"/>
        <color theme="1"/>
        <rFont val="Calibri"/>
        <charset val="134"/>
      </rPr>
      <t xml:space="preserve">Note: Scenario </t>
    </r>
    <r>
      <rPr>
        <sz val="11"/>
        <color theme="1"/>
        <rFont val="Calibri"/>
        <charset val="134"/>
      </rPr>
      <t>19</t>
    </r>
    <r>
      <rPr>
        <sz val="11"/>
        <color theme="1"/>
        <charset val="134"/>
      </rPr>
      <t xml:space="preserve"> is the same as Scenario 2 except that the TDD UL/DL configuration {SU}, S={D10, G2, U2} is assumed.</t>
    </r>
  </si>
  <si>
    <r>
      <rPr>
        <sz val="11"/>
        <color theme="1"/>
        <charset val="134"/>
      </rPr>
      <t>n</t>
    </r>
    <r>
      <rPr>
        <sz val="11"/>
        <color theme="1"/>
        <rFont val="Calibri"/>
        <charset val="134"/>
      </rPr>
      <t>.a.</t>
    </r>
  </si>
  <si>
    <r>
      <rPr>
        <sz val="11"/>
        <color theme="1"/>
        <rFont val="Calibri"/>
        <charset val="134"/>
      </rPr>
      <t>Note: Scenario 20</t>
    </r>
    <r>
      <rPr>
        <sz val="11"/>
        <color theme="1"/>
        <charset val="134"/>
      </rPr>
      <t xml:space="preserve"> is the same as Scenario </t>
    </r>
    <r>
      <rPr>
        <sz val="11"/>
        <color theme="1"/>
        <rFont val="Calibri"/>
        <charset val="134"/>
      </rPr>
      <t>4</t>
    </r>
    <r>
      <rPr>
        <sz val="11"/>
        <color theme="1"/>
        <charset val="134"/>
      </rPr>
      <t xml:space="preserve"> except that the TDD UL/DL configuration {SU}, S={D10, G2, U2} is assumed.</t>
    </r>
  </si>
  <si>
    <r>
      <rPr>
        <sz val="11"/>
        <color theme="1"/>
        <rFont val="Calibri"/>
        <charset val="134"/>
      </rPr>
      <t>Note: Scenario 21</t>
    </r>
    <r>
      <rPr>
        <sz val="11"/>
        <color theme="1"/>
        <charset val="134"/>
      </rPr>
      <t xml:space="preserve"> is the same as Scenario </t>
    </r>
    <r>
      <rPr>
        <sz val="11"/>
        <color theme="1"/>
        <rFont val="Calibri"/>
        <charset val="134"/>
      </rPr>
      <t>6</t>
    </r>
    <r>
      <rPr>
        <sz val="11"/>
        <color theme="1"/>
        <charset val="134"/>
      </rPr>
      <t xml:space="preserve"> except that the TDD UL/DL configuration {SU}, S={D10, G2, U2} is assumed.</t>
    </r>
  </si>
  <si>
    <r>
      <rPr>
        <sz val="11"/>
        <color theme="1"/>
        <rFont val="Calibri"/>
        <charset val="134"/>
      </rPr>
      <t>Note: Scenario 22</t>
    </r>
    <r>
      <rPr>
        <sz val="11"/>
        <color theme="1"/>
        <charset val="134"/>
      </rPr>
      <t xml:space="preserve"> is the same as Scenario </t>
    </r>
    <r>
      <rPr>
        <sz val="11"/>
        <color theme="1"/>
        <rFont val="Calibri"/>
        <charset val="134"/>
      </rPr>
      <t>14</t>
    </r>
    <r>
      <rPr>
        <sz val="11"/>
        <color theme="1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charset val="134"/>
      </rPr>
      <t>}, S={D10, G2, U2} is assumed.</t>
    </r>
  </si>
  <si>
    <r>
      <rPr>
        <sz val="11"/>
        <color theme="1"/>
        <rFont val="Calibri"/>
        <charset val="134"/>
      </rPr>
      <t>Note: Scenario 23</t>
    </r>
    <r>
      <rPr>
        <sz val="11"/>
        <color theme="1"/>
        <charset val="134"/>
      </rPr>
      <t xml:space="preserve"> is the same as Scenario </t>
    </r>
    <r>
      <rPr>
        <sz val="11"/>
        <color theme="1"/>
        <rFont val="Calibri"/>
        <charset val="134"/>
      </rPr>
      <t>16</t>
    </r>
    <r>
      <rPr>
        <sz val="11"/>
        <color theme="1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charset val="134"/>
      </rPr>
      <t>}, S={D10, G2, U2} is assumed.</t>
    </r>
  </si>
  <si>
    <r>
      <rPr>
        <sz val="11"/>
        <color theme="1"/>
        <rFont val="Calibri"/>
        <charset val="134"/>
      </rPr>
      <t>Note: Scenario 24</t>
    </r>
    <r>
      <rPr>
        <sz val="11"/>
        <color theme="1"/>
        <charset val="134"/>
      </rPr>
      <t xml:space="preserve"> is the same as Scenario </t>
    </r>
    <r>
      <rPr>
        <sz val="11"/>
        <color theme="1"/>
        <rFont val="Calibri"/>
        <charset val="134"/>
      </rPr>
      <t>18</t>
    </r>
    <r>
      <rPr>
        <sz val="11"/>
        <color theme="1"/>
        <charset val="134"/>
      </rPr>
      <t xml:space="preserve"> except that the TDD UL/DL configuration {</t>
    </r>
    <r>
      <rPr>
        <sz val="11"/>
        <color theme="1"/>
        <rFont val="Calibri"/>
        <charset val="134"/>
      </rPr>
      <t>D</t>
    </r>
    <r>
      <rPr>
        <sz val="11"/>
        <color theme="1"/>
        <charset val="134"/>
      </rPr>
      <t>SU</t>
    </r>
    <r>
      <rPr>
        <sz val="11"/>
        <color theme="1"/>
        <rFont val="Calibri"/>
        <charset val="134"/>
      </rPr>
      <t>U</t>
    </r>
    <r>
      <rPr>
        <sz val="11"/>
        <color theme="1"/>
        <charset val="134"/>
      </rPr>
      <t>}, S={D10, G2, U2} is assumed.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</si>
</sst>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33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strike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trike/>
      <sz val="11"/>
      <color theme="1"/>
      <name val="等线"/>
      <charset val="134"/>
      <scheme val="minor"/>
    </font>
    <font>
      <sz val="10"/>
      <color theme="1"/>
      <name val="等线"/>
      <charset val="129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name val="等线"/>
      <charset val="129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29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0" fontId="6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1" applyNumberFormat="1" applyFont="1" applyAlignment="1">
      <alignment horizontal="center"/>
    </xf>
    <xf numFmtId="0" fontId="5" fillId="0" borderId="0" xfId="0" applyFont="1"/>
    <xf numFmtId="10" fontId="3" fillId="0" borderId="0" xfId="11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0" fillId="0" borderId="0" xfId="1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9" fontId="0" fillId="0" borderId="0" xfId="1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abSelected="1" workbookViewId="0">
      <selection activeCell="C21" sqref="C21"/>
    </sheetView>
  </sheetViews>
  <sheetFormatPr defaultColWidth="9" defaultRowHeight="13.5" outlineLevelCol="2"/>
  <cols>
    <col min="1" max="1" width="19.3333333333333" customWidth="1"/>
    <col min="2" max="2" width="21.8833333333333" customWidth="1"/>
    <col min="3" max="3" width="28.1083333333333" customWidth="1"/>
  </cols>
  <sheetData>
    <row r="1" spans="1:3">
      <c r="A1" s="36" t="s">
        <v>0</v>
      </c>
      <c r="B1" s="37" t="s">
        <v>1</v>
      </c>
      <c r="C1" s="37" t="s">
        <v>2</v>
      </c>
    </row>
    <row r="2" spans="1:3">
      <c r="A2" s="38"/>
      <c r="B2" s="39" t="s">
        <v>3</v>
      </c>
      <c r="C2" s="39"/>
    </row>
    <row r="3" spans="1:3">
      <c r="A3" s="38">
        <v>43515</v>
      </c>
      <c r="B3" s="39" t="s">
        <v>4</v>
      </c>
      <c r="C3" s="39" t="s">
        <v>5</v>
      </c>
    </row>
    <row r="4" spans="1:3">
      <c r="A4" s="38">
        <v>43516</v>
      </c>
      <c r="B4" s="39" t="s">
        <v>6</v>
      </c>
      <c r="C4" s="39" t="s">
        <v>7</v>
      </c>
    </row>
    <row r="5" spans="1:3">
      <c r="A5" s="38">
        <v>43516</v>
      </c>
      <c r="B5" s="40" t="s">
        <v>8</v>
      </c>
      <c r="C5" s="40" t="s">
        <v>9</v>
      </c>
    </row>
    <row r="6" spans="1:3">
      <c r="A6" s="38">
        <v>43517</v>
      </c>
      <c r="B6" s="39" t="s">
        <v>10</v>
      </c>
      <c r="C6" s="39" t="s">
        <v>11</v>
      </c>
    </row>
    <row r="7" ht="36" spans="1:3">
      <c r="A7" s="38">
        <v>43517</v>
      </c>
      <c r="B7" s="39" t="s">
        <v>12</v>
      </c>
      <c r="C7" s="41" t="s">
        <v>13</v>
      </c>
    </row>
    <row r="8" spans="1:3">
      <c r="A8" s="38">
        <v>43517</v>
      </c>
      <c r="B8" s="39" t="s">
        <v>14</v>
      </c>
      <c r="C8" s="39" t="s">
        <v>15</v>
      </c>
    </row>
    <row r="9" spans="1:3">
      <c r="A9" s="38">
        <v>43517</v>
      </c>
      <c r="B9" s="39" t="s">
        <v>16</v>
      </c>
      <c r="C9" s="39" t="s">
        <v>17</v>
      </c>
    </row>
    <row r="10" spans="1:3">
      <c r="A10" s="38">
        <v>43517</v>
      </c>
      <c r="B10" s="39" t="s">
        <v>18</v>
      </c>
      <c r="C10" s="39" t="s">
        <v>19</v>
      </c>
    </row>
    <row r="11" spans="1:3">
      <c r="A11" s="38">
        <v>43518</v>
      </c>
      <c r="B11" s="39" t="s">
        <v>20</v>
      </c>
      <c r="C11" s="39" t="s">
        <v>21</v>
      </c>
    </row>
    <row r="12" spans="1:3">
      <c r="A12" s="38">
        <v>43518</v>
      </c>
      <c r="B12" s="39" t="s">
        <v>22</v>
      </c>
      <c r="C12" s="39" t="s">
        <v>23</v>
      </c>
    </row>
    <row r="13" spans="1:3">
      <c r="A13" s="38">
        <v>43518</v>
      </c>
      <c r="B13" s="42" t="s">
        <v>24</v>
      </c>
      <c r="C13" s="42" t="s">
        <v>25</v>
      </c>
    </row>
    <row r="14" spans="1:3">
      <c r="A14" s="38">
        <v>43518</v>
      </c>
      <c r="B14" s="43" t="s">
        <v>26</v>
      </c>
      <c r="C14" s="43" t="s">
        <v>27</v>
      </c>
    </row>
    <row r="15" spans="1:3">
      <c r="A15" s="38">
        <v>43518</v>
      </c>
      <c r="B15" s="42" t="s">
        <v>28</v>
      </c>
      <c r="C15" s="42" t="s">
        <v>29</v>
      </c>
    </row>
    <row r="16" spans="1:3">
      <c r="A16" s="38">
        <v>43518</v>
      </c>
      <c r="B16" s="43" t="s">
        <v>30</v>
      </c>
      <c r="C16" s="43" t="s">
        <v>31</v>
      </c>
    </row>
    <row r="17" spans="1:3">
      <c r="A17" s="38">
        <v>43518</v>
      </c>
      <c r="B17" s="43" t="s">
        <v>32</v>
      </c>
      <c r="C17" s="43" t="s">
        <v>33</v>
      </c>
    </row>
    <row r="18" spans="1:3">
      <c r="A18" s="38">
        <v>43522</v>
      </c>
      <c r="B18" s="40" t="s">
        <v>34</v>
      </c>
      <c r="C18" s="40" t="s">
        <v>35</v>
      </c>
    </row>
    <row r="19" spans="1:3">
      <c r="A19" s="38">
        <v>43523</v>
      </c>
      <c r="B19" s="39" t="s">
        <v>36</v>
      </c>
      <c r="C19" s="39" t="s">
        <v>37</v>
      </c>
    </row>
  </sheetData>
  <pageMargins left="0.699305555555556" right="0.699305555555556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zoomScale="85" zoomScaleNormal="85" workbookViewId="0">
      <selection activeCell="A4" sqref="A4:L4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1.46</v>
      </c>
      <c r="H2" s="11">
        <v>5</v>
      </c>
      <c r="I2" s="11">
        <v>0.99</v>
      </c>
      <c r="J2" s="11">
        <f>6/11*100</f>
        <v>54.5454545454545</v>
      </c>
      <c r="K2" s="11">
        <v>27.5</v>
      </c>
      <c r="L2" s="3" t="s">
        <v>50</v>
      </c>
    </row>
    <row r="3" spans="1:12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1.26</v>
      </c>
      <c r="H3" s="3">
        <v>5</v>
      </c>
      <c r="I3" s="3">
        <v>0.87</v>
      </c>
      <c r="J3" s="3">
        <v>54.55</v>
      </c>
      <c r="K3" s="3">
        <v>27.91</v>
      </c>
      <c r="L3" s="3"/>
    </row>
    <row r="4" spans="1:12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1.32</v>
      </c>
      <c r="H4" s="8">
        <v>5</v>
      </c>
      <c r="I4" s="8">
        <v>0.89</v>
      </c>
      <c r="J4" s="20">
        <f>(11-5)/11</f>
        <v>0.545454545454545</v>
      </c>
      <c r="K4" s="21">
        <v>0.2791</v>
      </c>
      <c r="L4" s="8" t="s">
        <v>53</v>
      </c>
    </row>
    <row r="5" spans="1:12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1.27</v>
      </c>
      <c r="H5" s="3">
        <v>5</v>
      </c>
      <c r="I5" s="3">
        <v>0.88</v>
      </c>
      <c r="J5" s="22">
        <v>0.545454545454545</v>
      </c>
      <c r="K5" s="22">
        <v>0.27906976744186</v>
      </c>
      <c r="L5" s="3" t="s">
        <v>53</v>
      </c>
    </row>
    <row r="6" s="3" customFormat="1" spans="1:12">
      <c r="A6" s="3" t="s">
        <v>55</v>
      </c>
      <c r="B6" s="9">
        <v>0.6875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1.2589</v>
      </c>
      <c r="H6" s="3">
        <v>7</v>
      </c>
      <c r="I6" s="3">
        <v>1</v>
      </c>
      <c r="J6" s="22">
        <f>(11-7)/11</f>
        <v>0.363636363636364</v>
      </c>
      <c r="K6" s="22">
        <f>3/4*(9-7)/(3/4*9+4)</f>
        <v>0.13953488372093</v>
      </c>
      <c r="L6" s="3" t="s">
        <v>53</v>
      </c>
    </row>
    <row r="7" s="3" customFormat="1" spans="1:12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1.26</v>
      </c>
      <c r="H7" s="10">
        <v>5</v>
      </c>
      <c r="I7" s="3">
        <v>0.87</v>
      </c>
      <c r="J7" s="11">
        <f>(11-H7)/11*100</f>
        <v>54.5454545454545</v>
      </c>
      <c r="K7" s="11">
        <f>((3/4*9+4)-(3/4*H7+4))/(3/4*9+4)*100</f>
        <v>27.906976744186</v>
      </c>
      <c r="L7" s="3" t="s">
        <v>53</v>
      </c>
    </row>
    <row r="8" spans="1:12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1.26</v>
      </c>
      <c r="H8" s="3">
        <v>5</v>
      </c>
      <c r="I8" s="3">
        <v>0.83</v>
      </c>
      <c r="J8" s="11">
        <f>(11-H8)/11*100</f>
        <v>54.5454545454545</v>
      </c>
      <c r="K8" s="11">
        <f>((3/4*9+4)-(3/4*H8+4))/(3/4*9+4)*100</f>
        <v>27.906976744186</v>
      </c>
      <c r="L8" s="3" t="s">
        <v>50</v>
      </c>
    </row>
    <row r="9" s="8" customFormat="1" spans="1:12">
      <c r="A9" s="8" t="s">
        <v>70</v>
      </c>
      <c r="B9" s="8">
        <v>0.7589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1.3304</v>
      </c>
      <c r="H9" s="8">
        <v>5</v>
      </c>
      <c r="I9" s="8">
        <v>0.9375</v>
      </c>
      <c r="J9" s="8">
        <v>54.55</v>
      </c>
      <c r="K9" s="8">
        <v>27.91</v>
      </c>
      <c r="L9" s="8" t="s">
        <v>64</v>
      </c>
    </row>
    <row r="10" s="3" customFormat="1" spans="1:12">
      <c r="A10" s="12" t="s">
        <v>65</v>
      </c>
      <c r="B10" s="3">
        <v>0.6875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1.2589</v>
      </c>
      <c r="H10" s="3">
        <v>5</v>
      </c>
      <c r="I10" s="3">
        <v>0.8661</v>
      </c>
      <c r="J10" s="3">
        <v>54.55</v>
      </c>
      <c r="K10" s="3">
        <v>27.91</v>
      </c>
      <c r="L10" s="3" t="s">
        <v>64</v>
      </c>
    </row>
    <row r="11" spans="1:11">
      <c r="A11" s="19" t="s">
        <v>66</v>
      </c>
      <c r="B11" s="3">
        <v>0.68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1.25</v>
      </c>
      <c r="H11" s="3">
        <v>6</v>
      </c>
      <c r="I11" s="3">
        <v>1</v>
      </c>
      <c r="J11" s="18">
        <f>(11-6)/11</f>
        <v>0.454545454545455</v>
      </c>
      <c r="K11" s="13">
        <v>0.2093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85" zoomScaleNormal="85" workbookViewId="0">
      <selection activeCell="A9" sqref="$A9:$XFD9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2.46</v>
      </c>
      <c r="H2" s="11">
        <v>5</v>
      </c>
      <c r="I2" s="11">
        <v>0.99</v>
      </c>
      <c r="J2" s="11">
        <f>6/11*100</f>
        <v>54.5454545454545</v>
      </c>
      <c r="K2" s="11">
        <v>27.5</v>
      </c>
      <c r="L2" s="3" t="s">
        <v>50</v>
      </c>
    </row>
    <row r="3" spans="1:12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1.22</v>
      </c>
      <c r="H3" s="3">
        <v>7</v>
      </c>
      <c r="I3" s="3">
        <v>1</v>
      </c>
      <c r="J3" s="3">
        <v>36.36</v>
      </c>
      <c r="K3" s="3">
        <v>13.95</v>
      </c>
      <c r="L3" s="3"/>
    </row>
    <row r="4" spans="1:12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1.29</v>
      </c>
      <c r="H4" s="8">
        <v>6</v>
      </c>
      <c r="I4" s="8">
        <v>0.98</v>
      </c>
      <c r="J4" s="20">
        <f>(11-6)/11</f>
        <v>0.454545454545455</v>
      </c>
      <c r="K4" s="21">
        <v>0.2093</v>
      </c>
      <c r="L4" s="3" t="s">
        <v>53</v>
      </c>
    </row>
    <row r="5" spans="1:12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1.24</v>
      </c>
      <c r="H5" s="3">
        <v>6.5</v>
      </c>
      <c r="I5" s="3">
        <v>1</v>
      </c>
      <c r="J5" s="22">
        <v>0.409090909090909</v>
      </c>
      <c r="K5" s="22">
        <v>0.174418604651163</v>
      </c>
      <c r="L5" s="3" t="s">
        <v>53</v>
      </c>
    </row>
    <row r="6" s="3" customFormat="1" spans="1:12">
      <c r="A6" s="3" t="s">
        <v>55</v>
      </c>
      <c r="B6" s="9">
        <v>0.6518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1.1875</v>
      </c>
      <c r="H6" s="3">
        <v>7</v>
      </c>
      <c r="I6" s="3">
        <v>0.9911</v>
      </c>
      <c r="J6" s="22">
        <f>(11-7)/11</f>
        <v>0.363636363636364</v>
      </c>
      <c r="K6" s="22">
        <f>3/4*(9-7)/(3/4*9+4)</f>
        <v>0.13953488372093</v>
      </c>
      <c r="L6" s="3" t="s">
        <v>53</v>
      </c>
    </row>
    <row r="7" s="3" customFormat="1" spans="1:12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1.22</v>
      </c>
      <c r="H7" s="10">
        <v>7</v>
      </c>
      <c r="I7" s="3">
        <v>0.99</v>
      </c>
      <c r="J7" s="11">
        <f t="shared" ref="J7" si="0">(11-H7)/11*100</f>
        <v>36.3636363636364</v>
      </c>
      <c r="K7" s="11">
        <f t="shared" ref="K7" si="1">((3/4*9+4)-(3/4*H7+4))/(3/4*9+4)*100</f>
        <v>13.953488372093</v>
      </c>
      <c r="L7" s="3" t="s">
        <v>53</v>
      </c>
    </row>
    <row r="8" spans="1:12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1.22</v>
      </c>
      <c r="H8" s="3">
        <v>7</v>
      </c>
      <c r="I8" s="3">
        <v>0.99</v>
      </c>
      <c r="J8" s="11">
        <f t="shared" ref="J8" si="2">(11-H8)/11*100</f>
        <v>36.3636363636364</v>
      </c>
      <c r="K8" s="11">
        <f t="shared" ref="K8" si="3">((3/4*9+4)-(3/4*H8+4))/(3/4*9+4)*100</f>
        <v>13.953488372093</v>
      </c>
      <c r="L8" s="3" t="s">
        <v>50</v>
      </c>
    </row>
    <row r="9" s="14" customFormat="1" spans="1:12">
      <c r="A9" s="14" t="s">
        <v>69</v>
      </c>
      <c r="B9" s="14">
        <v>0.71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1.28</v>
      </c>
      <c r="H9" s="14">
        <v>6</v>
      </c>
      <c r="I9" s="14">
        <v>1</v>
      </c>
      <c r="J9" s="16">
        <v>0.4545</v>
      </c>
      <c r="K9" s="16">
        <v>0.2093</v>
      </c>
      <c r="L9" s="14" t="s">
        <v>50</v>
      </c>
    </row>
    <row r="10" s="8" customFormat="1" spans="1:12">
      <c r="A10" s="8" t="s">
        <v>70</v>
      </c>
      <c r="B10" s="8">
        <v>0.7589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1.2946</v>
      </c>
      <c r="H10" s="8">
        <v>5</v>
      </c>
      <c r="I10" s="8">
        <v>0.9018</v>
      </c>
      <c r="J10" s="8">
        <v>54.55</v>
      </c>
      <c r="K10" s="8">
        <v>27.91</v>
      </c>
      <c r="L10" s="8" t="s">
        <v>64</v>
      </c>
    </row>
    <row r="11" s="3" customFormat="1" spans="1:12">
      <c r="A11" s="12" t="s">
        <v>65</v>
      </c>
      <c r="B11" s="3">
        <v>0.6875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1.2232</v>
      </c>
      <c r="H11" s="3">
        <v>7</v>
      </c>
      <c r="I11" s="3">
        <v>0.9911</v>
      </c>
      <c r="J11" s="22">
        <f>(11-7)/11</f>
        <v>0.363636363636364</v>
      </c>
      <c r="K11" s="22">
        <f>3/4*(9-7)/(3/4*9+4)</f>
        <v>0.13953488372093</v>
      </c>
      <c r="L11" s="3" t="s">
        <v>71</v>
      </c>
    </row>
    <row r="12" spans="1:11">
      <c r="A12" s="19" t="s">
        <v>66</v>
      </c>
      <c r="B12" s="3">
        <v>0.68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1.21</v>
      </c>
      <c r="H12" s="3">
        <v>7</v>
      </c>
      <c r="I12" s="3">
        <v>0.98</v>
      </c>
      <c r="J12" s="18">
        <v>0.363636363636364</v>
      </c>
      <c r="K12" s="18">
        <v>0.1395</v>
      </c>
    </row>
    <row r="13" s="15" customFormat="1" spans="1:12">
      <c r="A13" s="15" t="s">
        <v>72</v>
      </c>
      <c r="B13" s="15">
        <v>0.69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1.22</v>
      </c>
      <c r="H13" s="15">
        <v>7</v>
      </c>
      <c r="I13" s="15">
        <v>0.99</v>
      </c>
      <c r="J13" s="17">
        <v>0.3636</v>
      </c>
      <c r="K13" s="17">
        <v>0.1395</v>
      </c>
      <c r="L13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zoomScale="85" zoomScaleNormal="85" workbookViewId="0">
      <selection activeCell="A10" sqref="A10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</v>
      </c>
      <c r="H2" s="11">
        <v>3</v>
      </c>
      <c r="I2" s="11">
        <v>0.94</v>
      </c>
      <c r="J2" s="11">
        <f>8/11*100</f>
        <v>72.7272727272727</v>
      </c>
      <c r="K2" s="11">
        <f>(46+35)/2</f>
        <v>40.5</v>
      </c>
      <c r="L2" s="3" t="s">
        <v>50</v>
      </c>
    </row>
    <row r="3" spans="1:12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1.42</v>
      </c>
      <c r="H3" s="3">
        <v>3</v>
      </c>
      <c r="I3" s="3">
        <v>0.9</v>
      </c>
      <c r="J3" s="3">
        <v>72.73</v>
      </c>
      <c r="K3" s="3">
        <v>41.86</v>
      </c>
      <c r="L3" s="3"/>
    </row>
    <row r="4" spans="1:12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1.48</v>
      </c>
      <c r="H4" s="8">
        <v>3</v>
      </c>
      <c r="I4" s="8">
        <v>0.91</v>
      </c>
      <c r="J4" s="20">
        <f>(11-3)/11</f>
        <v>0.727272727272727</v>
      </c>
      <c r="K4" s="21">
        <v>0.4186</v>
      </c>
      <c r="L4" s="3" t="s">
        <v>50</v>
      </c>
    </row>
    <row r="5" spans="1:12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1.43</v>
      </c>
      <c r="H5" s="3">
        <v>3</v>
      </c>
      <c r="I5" s="3">
        <v>0.91</v>
      </c>
      <c r="J5" s="22">
        <v>0.727272727272727</v>
      </c>
      <c r="K5" s="22">
        <v>0.418604651162791</v>
      </c>
      <c r="L5" s="3" t="s">
        <v>53</v>
      </c>
    </row>
    <row r="6" s="3" customFormat="1" spans="1:12">
      <c r="A6" s="3" t="s">
        <v>55</v>
      </c>
      <c r="B6" s="9">
        <v>0.8125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1.4196</v>
      </c>
      <c r="H6" s="3">
        <v>3</v>
      </c>
      <c r="I6" s="3">
        <v>0.8304</v>
      </c>
      <c r="J6" s="22">
        <v>0.727272727272727</v>
      </c>
      <c r="K6" s="22">
        <v>0.418604651162791</v>
      </c>
      <c r="L6" s="3" t="s">
        <v>53</v>
      </c>
    </row>
    <row r="7" s="3" customFormat="1" spans="1:12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1.42</v>
      </c>
      <c r="H7" s="10">
        <v>3</v>
      </c>
      <c r="I7" s="3">
        <v>0.9</v>
      </c>
      <c r="J7" s="11">
        <f t="shared" ref="J7" si="0">(11-H7)/11*100</f>
        <v>72.7272727272727</v>
      </c>
      <c r="K7" s="11">
        <f t="shared" ref="K7" si="1">((3/4*9+4)-(3/4*H7+4))/(3/4*9+4)*100</f>
        <v>41.8604651162791</v>
      </c>
      <c r="L7" s="3" t="s">
        <v>53</v>
      </c>
    </row>
    <row r="8" spans="1:12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3</v>
      </c>
      <c r="I8" s="3">
        <v>0.96</v>
      </c>
      <c r="J8" s="11">
        <f t="shared" ref="J8" si="2">(11-H8)/11*100</f>
        <v>72.7272727272727</v>
      </c>
      <c r="K8" s="11">
        <f t="shared" ref="K8" si="3">((3/4*9+4)-(3/4*H8+4))/(3/4*9+4)*100</f>
        <v>41.8604651162791</v>
      </c>
      <c r="L8" s="3" t="s">
        <v>50</v>
      </c>
    </row>
    <row r="9" s="8" customFormat="1" spans="1:12">
      <c r="A9" s="8" t="s">
        <v>70</v>
      </c>
      <c r="B9" s="8">
        <v>0.8839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1.4911</v>
      </c>
      <c r="H9" s="8">
        <v>3</v>
      </c>
      <c r="I9" s="8">
        <v>0.9732</v>
      </c>
      <c r="J9" s="8">
        <v>72.73</v>
      </c>
      <c r="K9" s="8">
        <v>41.86</v>
      </c>
      <c r="L9" s="8" t="s">
        <v>64</v>
      </c>
    </row>
    <row r="10" s="3" customFormat="1" spans="1:12">
      <c r="A10" s="12" t="s">
        <v>65</v>
      </c>
      <c r="B10" s="3">
        <v>0.8125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1.4196</v>
      </c>
      <c r="H10" s="3">
        <v>3</v>
      </c>
      <c r="I10" s="3">
        <v>0.9018</v>
      </c>
      <c r="J10" s="3">
        <v>72.73</v>
      </c>
      <c r="K10" s="3">
        <v>41.86</v>
      </c>
      <c r="L10" s="3" t="s">
        <v>64</v>
      </c>
    </row>
    <row r="11" spans="1:11">
      <c r="A11" s="19" t="s">
        <v>66</v>
      </c>
      <c r="B11" s="3">
        <v>0.8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1.41</v>
      </c>
      <c r="H11" s="3">
        <v>3</v>
      </c>
      <c r="I11" s="3">
        <v>0.89</v>
      </c>
      <c r="J11" s="18">
        <f>(11-3)/11</f>
        <v>0.727272727272727</v>
      </c>
      <c r="K11" s="13">
        <v>0.4186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85" zoomScaleNormal="85" workbookViewId="0">
      <selection activeCell="A13" sqref="A13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1.58</v>
      </c>
      <c r="H2" s="11">
        <v>3</v>
      </c>
      <c r="I2" s="11">
        <v>0.9</v>
      </c>
      <c r="J2" s="11">
        <f>8/11*100</f>
        <v>72.7272727272727</v>
      </c>
      <c r="K2" s="11">
        <f>(46+35)/2</f>
        <v>40.5</v>
      </c>
      <c r="L2" s="3" t="s">
        <v>50</v>
      </c>
    </row>
    <row r="3" spans="1:12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1.38</v>
      </c>
      <c r="H3" s="3">
        <v>4</v>
      </c>
      <c r="I3" s="3">
        <v>0.93</v>
      </c>
      <c r="J3" s="3">
        <v>63.64</v>
      </c>
      <c r="K3" s="3">
        <v>34.88</v>
      </c>
      <c r="L3" s="3"/>
    </row>
    <row r="4" spans="1:12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1.45</v>
      </c>
      <c r="H4" s="8">
        <v>4</v>
      </c>
      <c r="I4" s="8">
        <v>0.95</v>
      </c>
      <c r="J4" s="20">
        <f>(11-4)/11</f>
        <v>0.636363636363636</v>
      </c>
      <c r="K4" s="21">
        <v>0.3488</v>
      </c>
      <c r="L4" s="3" t="s">
        <v>53</v>
      </c>
    </row>
    <row r="5" spans="1:12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</v>
      </c>
      <c r="H5" s="3">
        <v>4</v>
      </c>
      <c r="I5" s="3">
        <v>0.94</v>
      </c>
      <c r="J5" s="22">
        <v>0.636363636363636</v>
      </c>
      <c r="K5" s="22">
        <v>0.348837209302326</v>
      </c>
      <c r="L5" s="3" t="s">
        <v>53</v>
      </c>
    </row>
    <row r="6" s="3" customFormat="1" spans="1:12">
      <c r="A6" s="3" t="s">
        <v>55</v>
      </c>
      <c r="B6" s="9">
        <v>0.8125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1.3839</v>
      </c>
      <c r="H6" s="3">
        <v>4</v>
      </c>
      <c r="I6" s="3">
        <v>0.8929</v>
      </c>
      <c r="J6" s="22">
        <v>0.636363636363636</v>
      </c>
      <c r="K6" s="22">
        <v>0.348837209302326</v>
      </c>
      <c r="L6" s="3" t="s">
        <v>53</v>
      </c>
    </row>
    <row r="7" s="3" customFormat="1" spans="1:12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1.38</v>
      </c>
      <c r="H7" s="10">
        <v>4</v>
      </c>
      <c r="I7" s="3">
        <v>0.93</v>
      </c>
      <c r="J7" s="11">
        <f t="shared" ref="J7" si="0">(11-H7)/11*100</f>
        <v>63.6363636363636</v>
      </c>
      <c r="K7" s="11">
        <f t="shared" ref="K7" si="1">((3/4*9+4)-(3/4*H7+4))/(3/4*9+4)*100</f>
        <v>34.8837209302326</v>
      </c>
      <c r="L7" s="3" t="s">
        <v>53</v>
      </c>
    </row>
    <row r="8" spans="1:12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4</v>
      </c>
      <c r="I8" s="3">
        <v>0.93</v>
      </c>
      <c r="J8" s="11">
        <f t="shared" ref="J8" si="2">(11-H8)/11*100</f>
        <v>63.6363636363636</v>
      </c>
      <c r="K8" s="11">
        <f t="shared" ref="K8" si="3">((3/4*9+4)-(3/4*H8+4))/(3/4*9+4)*100</f>
        <v>34.8837209302326</v>
      </c>
      <c r="L8" s="3" t="s">
        <v>50</v>
      </c>
    </row>
    <row r="9" s="14" customFormat="1" spans="1:12">
      <c r="A9" s="14" t="s">
        <v>69</v>
      </c>
      <c r="B9" s="14">
        <v>0.83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1.53</v>
      </c>
      <c r="H9" s="14">
        <v>3</v>
      </c>
      <c r="I9" s="14">
        <v>0.92</v>
      </c>
      <c r="J9" s="16">
        <v>0.7273</v>
      </c>
      <c r="K9" s="16">
        <v>0.4186</v>
      </c>
      <c r="L9" s="14" t="s">
        <v>50</v>
      </c>
    </row>
    <row r="10" s="8" customFormat="1" spans="1:12">
      <c r="A10" s="8" t="s">
        <v>70</v>
      </c>
      <c r="B10" s="8">
        <v>0.8839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1.4554</v>
      </c>
      <c r="H10" s="8">
        <v>4</v>
      </c>
      <c r="I10" s="8">
        <v>1</v>
      </c>
      <c r="J10" s="8">
        <v>63.64</v>
      </c>
      <c r="K10" s="8">
        <v>34.88</v>
      </c>
      <c r="L10" s="8" t="s">
        <v>64</v>
      </c>
    </row>
    <row r="11" s="3" customFormat="1" spans="1:12">
      <c r="A11" s="12" t="s">
        <v>65</v>
      </c>
      <c r="B11" s="3">
        <v>0.8125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1.3839</v>
      </c>
      <c r="H11" s="3">
        <v>4</v>
      </c>
      <c r="I11" s="3">
        <v>0.9286</v>
      </c>
      <c r="J11" s="3">
        <v>63.64</v>
      </c>
      <c r="K11" s="3">
        <v>34.88</v>
      </c>
      <c r="L11" s="3" t="s">
        <v>64</v>
      </c>
    </row>
    <row r="12" spans="1:11">
      <c r="A12" s="19" t="s">
        <v>66</v>
      </c>
      <c r="B12" s="3">
        <v>0.8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1.38</v>
      </c>
      <c r="H12" s="3">
        <v>4</v>
      </c>
      <c r="I12" s="3">
        <v>0.91</v>
      </c>
      <c r="J12" s="18">
        <f>(11-4)/11</f>
        <v>0.636363636363636</v>
      </c>
      <c r="K12" s="13">
        <v>0.3488</v>
      </c>
    </row>
    <row r="13" s="15" customFormat="1" spans="1:12">
      <c r="A13" s="15" t="s">
        <v>72</v>
      </c>
      <c r="B13" s="15">
        <v>0.81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1.38</v>
      </c>
      <c r="H13" s="15">
        <v>4</v>
      </c>
      <c r="I13" s="15">
        <v>0.93</v>
      </c>
      <c r="J13" s="17">
        <v>0.6364</v>
      </c>
      <c r="K13" s="17">
        <v>0.3488</v>
      </c>
      <c r="L13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workbookViewId="0">
      <selection activeCell="A5" sqref="A5"/>
    </sheetView>
  </sheetViews>
  <sheetFormatPr defaultColWidth="9" defaultRowHeight="13.5" outlineLevelRow="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0.79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1.42</v>
      </c>
      <c r="H2" s="3">
        <v>16</v>
      </c>
      <c r="I2" s="3">
        <v>0.99</v>
      </c>
      <c r="J2" s="3">
        <v>55.56</v>
      </c>
      <c r="K2" s="3">
        <v>13.04</v>
      </c>
      <c r="L2" s="3"/>
    </row>
    <row r="3" s="3" customFormat="1" spans="1:12">
      <c r="A3" s="3" t="s">
        <v>56</v>
      </c>
      <c r="B3" s="3">
        <v>0.88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1.53</v>
      </c>
      <c r="H3" s="3">
        <v>15</v>
      </c>
      <c r="I3" s="3">
        <v>0.99</v>
      </c>
      <c r="J3" s="11">
        <f>(36-H3)/36*100</f>
        <v>58.3333333333333</v>
      </c>
      <c r="K3" s="11">
        <f>((3/4*20+8)-(3/4*H3+8))/(3/4*20+8)*100</f>
        <v>16.304347826087</v>
      </c>
      <c r="L3" s="3" t="s">
        <v>53</v>
      </c>
    </row>
    <row r="4" spans="1:12">
      <c r="A4" s="3" t="s">
        <v>57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1.45</v>
      </c>
      <c r="H4" s="3">
        <v>15</v>
      </c>
      <c r="I4" s="3">
        <v>0.97</v>
      </c>
      <c r="J4" s="11">
        <f>(36-H4)/36*100</f>
        <v>58.3333333333333</v>
      </c>
      <c r="K4" s="11">
        <f>((3/4*20+8)-(3/4*H4+8))/(3/4*20+8)*100</f>
        <v>16.304347826087</v>
      </c>
      <c r="L4" s="3" t="s">
        <v>50</v>
      </c>
    </row>
    <row r="5" s="8" customFormat="1" spans="1:11">
      <c r="A5" s="8" t="s">
        <v>70</v>
      </c>
      <c r="B5" s="8">
        <v>0.8839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1.5268</v>
      </c>
      <c r="H5" s="8">
        <v>11</v>
      </c>
      <c r="I5" s="8">
        <v>0.8884</v>
      </c>
      <c r="J5" s="8">
        <v>69.44</v>
      </c>
      <c r="K5" s="8">
        <v>29.35</v>
      </c>
    </row>
    <row r="6" s="3" customFormat="1" spans="1:11">
      <c r="A6" s="12" t="s">
        <v>65</v>
      </c>
      <c r="B6" s="3">
        <v>0.8125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1.4554</v>
      </c>
      <c r="H6" s="3">
        <v>15</v>
      </c>
      <c r="I6" s="3">
        <v>0.9777</v>
      </c>
      <c r="J6" s="11">
        <f>(36-H6)/36*100</f>
        <v>58.3333333333333</v>
      </c>
      <c r="K6" s="11">
        <f>((3/4*20+8)-(3/4*H6+8))/(3/4*20+8)*100</f>
        <v>16.304347826087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C14" sqref="C14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0.78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</v>
      </c>
      <c r="H2" s="3">
        <v>16</v>
      </c>
      <c r="I2" s="3">
        <v>0.97</v>
      </c>
      <c r="J2" s="3">
        <v>55.56</v>
      </c>
      <c r="K2" s="3">
        <v>13.04</v>
      </c>
      <c r="L2" s="3"/>
    </row>
    <row r="3" s="3" customFormat="1" spans="1:12">
      <c r="A3" s="3" t="s">
        <v>55</v>
      </c>
      <c r="B3" s="9">
        <v>0.7768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1.4018</v>
      </c>
      <c r="H3" s="3">
        <v>16</v>
      </c>
      <c r="I3" s="3">
        <v>0.99</v>
      </c>
      <c r="J3" s="13">
        <f>(36-16)/36</f>
        <v>0.555555555555556</v>
      </c>
      <c r="K3" s="18">
        <f>3/4*(20-16)/(3/4*20+8)</f>
        <v>0.130434782608696</v>
      </c>
      <c r="L3" s="3" t="s">
        <v>53</v>
      </c>
    </row>
    <row r="4" s="3" customFormat="1" spans="1:12">
      <c r="A4" s="3" t="s">
        <v>56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1.44</v>
      </c>
      <c r="H4" s="3">
        <v>15</v>
      </c>
      <c r="I4" s="3">
        <v>0.99</v>
      </c>
      <c r="J4" s="11">
        <f t="shared" ref="J4" si="0">(36-H4)/36*100</f>
        <v>58.3333333333333</v>
      </c>
      <c r="K4" s="11">
        <f t="shared" ref="K4" si="1">((3/4*20+8)-(3/4*H4+8))/(3/4*20+8)*100</f>
        <v>16.304347826087</v>
      </c>
      <c r="L4" s="3" t="s">
        <v>53</v>
      </c>
    </row>
    <row r="5" spans="1:12">
      <c r="A5" s="3" t="s">
        <v>57</v>
      </c>
      <c r="B5" s="3">
        <v>0.78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1.43</v>
      </c>
      <c r="H5" s="3">
        <v>16</v>
      </c>
      <c r="I5" s="3">
        <v>0.99</v>
      </c>
      <c r="J5" s="11">
        <f t="shared" ref="J5" si="2">(36-H5)/36*100</f>
        <v>55.5555555555556</v>
      </c>
      <c r="K5" s="11">
        <f t="shared" ref="K5" si="3">((3/4*20+8)-(3/4*H5+8))/(3/4*20+8)*100</f>
        <v>13.0434782608696</v>
      </c>
      <c r="L5" s="3" t="s">
        <v>50</v>
      </c>
    </row>
    <row r="6" s="14" customFormat="1" spans="1:12">
      <c r="A6" s="14" t="s">
        <v>69</v>
      </c>
      <c r="B6" s="14">
        <v>0.79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1.43</v>
      </c>
      <c r="H6" s="14">
        <v>14</v>
      </c>
      <c r="I6" s="14">
        <v>0.99</v>
      </c>
      <c r="J6" s="16">
        <v>0.6111</v>
      </c>
      <c r="K6" s="16">
        <v>0.1957</v>
      </c>
      <c r="L6" s="14" t="s">
        <v>50</v>
      </c>
    </row>
    <row r="7" s="8" customFormat="1" spans="1:11">
      <c r="A7" s="8" t="s">
        <v>70</v>
      </c>
      <c r="B7" s="8">
        <v>0.8661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1.5089</v>
      </c>
      <c r="H7" s="8">
        <v>13</v>
      </c>
      <c r="I7" s="8">
        <v>0.9688</v>
      </c>
      <c r="J7" s="8">
        <v>63.89</v>
      </c>
      <c r="K7" s="8">
        <v>22.83</v>
      </c>
    </row>
    <row r="8" s="3" customFormat="1" spans="1:11">
      <c r="A8" s="12" t="s">
        <v>65</v>
      </c>
      <c r="B8" s="3">
        <v>0.7946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1.4375</v>
      </c>
      <c r="H8" s="3">
        <v>15</v>
      </c>
      <c r="I8" s="3">
        <v>0.9777</v>
      </c>
      <c r="J8" s="11">
        <f t="shared" ref="J8" si="4">(36-H8)/36*100</f>
        <v>58.3333333333333</v>
      </c>
      <c r="K8" s="11">
        <f t="shared" ref="K8" si="5">((3/4*20+8)-(3/4*H8+8))/(3/4*20+8)*100</f>
        <v>16.304347826087</v>
      </c>
    </row>
    <row r="9" s="15" customFormat="1" spans="1:12">
      <c r="A9" s="15" t="s">
        <v>72</v>
      </c>
      <c r="B9" s="15">
        <v>0.79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1.44</v>
      </c>
      <c r="H9" s="15">
        <v>14</v>
      </c>
      <c r="I9" s="15">
        <v>0.99</v>
      </c>
      <c r="J9" s="17">
        <v>0.6111</v>
      </c>
      <c r="K9" s="17">
        <v>0.1957</v>
      </c>
      <c r="L9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workbookViewId="0">
      <selection activeCell="A5" sqref="A5"/>
    </sheetView>
  </sheetViews>
  <sheetFormatPr defaultColWidth="9" defaultRowHeight="13.5" outlineLevelRow="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51</v>
      </c>
      <c r="B2" s="3">
        <v>0.81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1.44</v>
      </c>
      <c r="H2" s="3">
        <v>15</v>
      </c>
      <c r="I2" s="3">
        <v>1</v>
      </c>
      <c r="J2" s="3">
        <v>58.33</v>
      </c>
      <c r="K2" s="3">
        <v>16.3</v>
      </c>
      <c r="L2" s="3"/>
    </row>
    <row r="3" s="3" customFormat="1" spans="1:12">
      <c r="A3" s="3" t="s">
        <v>56</v>
      </c>
      <c r="B3" s="3">
        <v>0.9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1.54</v>
      </c>
      <c r="H3" s="3">
        <v>13</v>
      </c>
      <c r="I3" s="3">
        <v>1</v>
      </c>
      <c r="J3" s="11">
        <f t="shared" ref="J3" si="0">(36-H3)/36*100</f>
        <v>63.8888888888889</v>
      </c>
      <c r="K3" s="11">
        <f t="shared" ref="K3" si="1">((3/4*20+8)-(3/4*H3+8))/(3/4*20+8)*100</f>
        <v>22.8260869565217</v>
      </c>
      <c r="L3" s="3" t="s">
        <v>53</v>
      </c>
    </row>
    <row r="4" spans="1:12">
      <c r="A4" s="3" t="s">
        <v>57</v>
      </c>
      <c r="B4" s="3">
        <v>0.81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1.46</v>
      </c>
      <c r="H4" s="3">
        <v>13</v>
      </c>
      <c r="I4" s="3">
        <v>0.98</v>
      </c>
      <c r="J4" s="11">
        <f t="shared" ref="J4:J6" si="2">(36-H4)/36*100</f>
        <v>63.8888888888889</v>
      </c>
      <c r="K4" s="11">
        <f t="shared" ref="K4:K6" si="3">((3/4*20+8)-(3/4*H4+8))/(3/4*20+8)*100</f>
        <v>22.8260869565217</v>
      </c>
      <c r="L4" s="3" t="s">
        <v>50</v>
      </c>
    </row>
    <row r="5" s="8" customFormat="1" spans="1:11">
      <c r="A5" s="8" t="s">
        <v>70</v>
      </c>
      <c r="B5" s="8">
        <v>0.9018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1.544</v>
      </c>
      <c r="H5" s="8">
        <v>11</v>
      </c>
      <c r="I5" s="8">
        <v>0.9777</v>
      </c>
      <c r="J5" s="8">
        <v>69.44</v>
      </c>
      <c r="K5" s="8">
        <v>29.35</v>
      </c>
    </row>
    <row r="6" s="3" customFormat="1" spans="1:11">
      <c r="A6" s="12" t="s">
        <v>65</v>
      </c>
      <c r="B6" s="3">
        <v>0.8304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1.4732</v>
      </c>
      <c r="H6" s="3">
        <v>13</v>
      </c>
      <c r="I6" s="3">
        <v>0.9866</v>
      </c>
      <c r="J6" s="11">
        <f t="shared" si="2"/>
        <v>63.8888888888889</v>
      </c>
      <c r="K6" s="11">
        <f t="shared" si="3"/>
        <v>22.8260869565217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zoomScale="85" zoomScaleNormal="85" topLeftCell="C1" workbookViewId="0">
      <selection activeCell="A9" sqref="A9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3" t="s">
        <v>51</v>
      </c>
      <c r="B2" s="3">
        <v>0.79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1.42</v>
      </c>
      <c r="H2" s="3">
        <v>15</v>
      </c>
      <c r="I2" s="3">
        <v>0.98</v>
      </c>
      <c r="J2" s="3">
        <v>58.33</v>
      </c>
      <c r="K2" s="3">
        <v>16.3</v>
      </c>
    </row>
    <row r="3" s="3" customFormat="1" spans="1:12">
      <c r="A3" s="3" t="s">
        <v>55</v>
      </c>
      <c r="B3" s="9">
        <v>0.7946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1.4196</v>
      </c>
      <c r="H3" s="3">
        <v>14</v>
      </c>
      <c r="I3" s="3">
        <v>0.99</v>
      </c>
      <c r="J3" s="13">
        <f>(36-14)/36</f>
        <v>0.611111111111111</v>
      </c>
      <c r="K3" s="13">
        <f>3/4*(20-14)/(3/4*20+8)</f>
        <v>0.195652173913043</v>
      </c>
      <c r="L3" s="3" t="s">
        <v>53</v>
      </c>
    </row>
    <row r="4" s="3" customFormat="1" spans="1:12">
      <c r="A4" s="3" t="s">
        <v>56</v>
      </c>
      <c r="B4" s="3">
        <v>0.9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1.54</v>
      </c>
      <c r="H4" s="3">
        <v>13</v>
      </c>
      <c r="I4" s="3">
        <v>1</v>
      </c>
      <c r="J4" s="11">
        <f t="shared" ref="J4" si="0">(36-H4)/36*100</f>
        <v>63.8888888888889</v>
      </c>
      <c r="K4" s="11">
        <f t="shared" ref="K4" si="1">((3/4*20+8)-(3/4*H4+8))/(3/4*20+8)*100</f>
        <v>22.8260869565217</v>
      </c>
      <c r="L4" s="3" t="s">
        <v>53</v>
      </c>
    </row>
    <row r="5" spans="1:12">
      <c r="A5" s="3" t="s">
        <v>57</v>
      </c>
      <c r="B5" s="3">
        <v>0.81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1.46</v>
      </c>
      <c r="H5" s="3">
        <v>15</v>
      </c>
      <c r="I5" s="3">
        <v>1</v>
      </c>
      <c r="J5" s="11">
        <f t="shared" ref="J5" si="2">(36-H5)/36*100</f>
        <v>58.3333333333333</v>
      </c>
      <c r="K5" s="11">
        <f t="shared" ref="K5" si="3">((3/4*20+8)-(3/4*H5+8))/(3/4*20+8)*100</f>
        <v>16.304347826087</v>
      </c>
      <c r="L5" s="3" t="s">
        <v>50</v>
      </c>
    </row>
    <row r="6" s="14" customFormat="1" spans="1:12">
      <c r="A6" s="14" t="s">
        <v>69</v>
      </c>
      <c r="B6" s="14">
        <v>0.84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1.57</v>
      </c>
      <c r="H6" s="14">
        <v>11</v>
      </c>
      <c r="I6" s="14">
        <v>1</v>
      </c>
      <c r="J6" s="16">
        <v>0.6944</v>
      </c>
      <c r="K6" s="16">
        <v>0.2935</v>
      </c>
      <c r="L6" s="14" t="s">
        <v>50</v>
      </c>
    </row>
    <row r="7" s="8" customFormat="1" spans="1:11">
      <c r="A7" s="8" t="s">
        <v>70</v>
      </c>
      <c r="B7" s="8">
        <v>0.9018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1.5446</v>
      </c>
      <c r="H7" s="8">
        <v>13</v>
      </c>
      <c r="I7" s="8">
        <v>0.9866</v>
      </c>
      <c r="J7" s="8">
        <v>63.89</v>
      </c>
      <c r="K7" s="8">
        <v>22.83</v>
      </c>
    </row>
    <row r="8" s="3" customFormat="1" spans="1:11">
      <c r="A8" s="12" t="s">
        <v>65</v>
      </c>
      <c r="B8" s="3">
        <v>0.8304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1.4732</v>
      </c>
      <c r="H8" s="3">
        <v>14</v>
      </c>
      <c r="I8" s="3">
        <v>1</v>
      </c>
      <c r="J8" s="3">
        <v>61.11</v>
      </c>
      <c r="K8" s="3">
        <v>19.57</v>
      </c>
    </row>
    <row r="9" s="15" customFormat="1" spans="1:12">
      <c r="A9" s="15" t="s">
        <v>72</v>
      </c>
      <c r="B9" s="15">
        <v>0.91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1.54</v>
      </c>
      <c r="H9" s="15">
        <v>12</v>
      </c>
      <c r="I9" s="15">
        <v>1</v>
      </c>
      <c r="J9" s="17">
        <v>0.6667</v>
      </c>
      <c r="K9" s="17">
        <v>0.2609</v>
      </c>
      <c r="L9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workbookViewId="0">
      <selection activeCell="A5" sqref="A5"/>
    </sheetView>
  </sheetViews>
  <sheetFormatPr defaultColWidth="9" defaultRowHeight="13.5" outlineLevelRow="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3" t="s">
        <v>51</v>
      </c>
      <c r="B2" s="3">
        <v>0.88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1.63</v>
      </c>
      <c r="H2" s="3">
        <v>13</v>
      </c>
      <c r="I2" s="3">
        <v>0.96</v>
      </c>
      <c r="J2" s="3">
        <v>63.89</v>
      </c>
      <c r="K2" s="3">
        <v>22.83</v>
      </c>
    </row>
    <row r="3" s="3" customFormat="1" spans="1:12">
      <c r="A3" s="3" t="s">
        <v>56</v>
      </c>
      <c r="B3" s="3">
        <v>0.95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1.7</v>
      </c>
      <c r="H3" s="3">
        <v>9</v>
      </c>
      <c r="I3" s="3">
        <v>0.92</v>
      </c>
      <c r="J3" s="11">
        <f t="shared" ref="J3" si="0">(36-H3)/36*100</f>
        <v>75</v>
      </c>
      <c r="K3" s="11">
        <f t="shared" ref="K3" si="1">((3/4*20+8)-(3/4*H3+8))/(3/4*20+8)*100</f>
        <v>35.8695652173913</v>
      </c>
      <c r="L3" s="3" t="s">
        <v>53</v>
      </c>
    </row>
    <row r="4" spans="1:12">
      <c r="A4" s="3" t="s">
        <v>57</v>
      </c>
      <c r="B4" s="3">
        <v>0.93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1.68</v>
      </c>
      <c r="H4" s="3">
        <v>10</v>
      </c>
      <c r="I4" s="3">
        <v>0.92</v>
      </c>
      <c r="J4" s="11">
        <f t="shared" ref="J4" si="2">(36-H4)/36*100</f>
        <v>72.2222222222222</v>
      </c>
      <c r="K4" s="11">
        <f t="shared" ref="K4" si="3">((3/4*20+8)-(3/4*H4+8))/(3/4*20+8)*100</f>
        <v>32.6086956521739</v>
      </c>
      <c r="L4" s="3" t="s">
        <v>50</v>
      </c>
    </row>
    <row r="5" s="8" customFormat="1" spans="1:11">
      <c r="A5" s="8" t="s">
        <v>70</v>
      </c>
      <c r="B5" s="8">
        <v>1.0179</v>
      </c>
      <c r="C5" s="8">
        <v>20</v>
      </c>
      <c r="D5" s="8">
        <v>0.8036</v>
      </c>
      <c r="E5" s="8">
        <v>44.44</v>
      </c>
      <c r="F5" s="8">
        <v>0</v>
      </c>
      <c r="G5" s="8">
        <v>1.7589</v>
      </c>
      <c r="H5" s="8">
        <v>10</v>
      </c>
      <c r="I5" s="8">
        <v>1</v>
      </c>
      <c r="J5" s="8">
        <v>72.22</v>
      </c>
      <c r="K5" s="8">
        <v>32.61</v>
      </c>
    </row>
    <row r="6" s="3" customFormat="1" spans="1:11">
      <c r="A6" s="12" t="s">
        <v>65</v>
      </c>
      <c r="B6" s="3">
        <v>0.9464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1.6875</v>
      </c>
      <c r="H6" s="3">
        <v>10</v>
      </c>
      <c r="I6" s="3">
        <v>0.9286</v>
      </c>
      <c r="J6" s="3">
        <v>72.22</v>
      </c>
      <c r="K6" s="3">
        <v>32.61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zoomScale="85" zoomScaleNormal="85" workbookViewId="0">
      <selection activeCell="H31" sqref="H31"/>
    </sheetView>
  </sheetViews>
  <sheetFormatPr defaultColWidth="9" defaultRowHeight="13.5" outlineLevelRow="6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3" t="s">
        <v>51</v>
      </c>
      <c r="B2" s="3">
        <v>0.87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1.62</v>
      </c>
      <c r="H2" s="3">
        <v>14</v>
      </c>
      <c r="I2" s="3">
        <v>0.99</v>
      </c>
      <c r="J2" s="3">
        <v>61.11</v>
      </c>
      <c r="K2" s="3">
        <v>19.57</v>
      </c>
    </row>
    <row r="3" s="3" customFormat="1" spans="1:12">
      <c r="A3" s="3" t="s">
        <v>55</v>
      </c>
      <c r="B3" s="9">
        <v>0.9196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1.6696</v>
      </c>
      <c r="H3" s="3">
        <v>11</v>
      </c>
      <c r="I3" s="3">
        <v>0.8795</v>
      </c>
      <c r="J3" s="13">
        <f>(36-11)/36</f>
        <v>0.694444444444444</v>
      </c>
      <c r="K3" s="13">
        <f>3/4*(20-11)/(3/4*20+8)</f>
        <v>0.293478260869565</v>
      </c>
      <c r="L3" s="3" t="s">
        <v>53</v>
      </c>
    </row>
    <row r="4" s="3" customFormat="1" spans="1:12">
      <c r="A4" s="3" t="s">
        <v>56</v>
      </c>
      <c r="B4" s="3">
        <v>0.95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1.7</v>
      </c>
      <c r="H4" s="3">
        <v>9</v>
      </c>
      <c r="I4" s="3">
        <v>0.92</v>
      </c>
      <c r="J4" s="11">
        <f t="shared" ref="J4" si="0">(36-H4)/36*100</f>
        <v>75</v>
      </c>
      <c r="K4" s="11">
        <f t="shared" ref="K4" si="1">((3/4*20+8)-(3/4*H4+8))/(3/4*20+8)*100</f>
        <v>35.8695652173913</v>
      </c>
      <c r="L4" s="3" t="s">
        <v>53</v>
      </c>
    </row>
    <row r="5" spans="1:12">
      <c r="A5" s="3" t="s">
        <v>57</v>
      </c>
      <c r="B5" s="3">
        <v>0.91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1.66</v>
      </c>
      <c r="H5" s="3">
        <v>12</v>
      </c>
      <c r="I5" s="3">
        <v>0.93</v>
      </c>
      <c r="J5" s="11">
        <f t="shared" ref="J5:J7" si="2">(36-H5)/36*100</f>
        <v>66.6666666666667</v>
      </c>
      <c r="K5" s="11">
        <f t="shared" ref="K5:K7" si="3">((3/4*20+8)-(3/4*H5+8))/(3/4*20+8)*100</f>
        <v>26.0869565217391</v>
      </c>
      <c r="L5" s="3" t="s">
        <v>50</v>
      </c>
    </row>
    <row r="6" s="8" customFormat="1" spans="1:11">
      <c r="A6" s="8" t="s">
        <v>70</v>
      </c>
      <c r="B6" s="8">
        <v>1</v>
      </c>
      <c r="C6" s="8" t="s">
        <v>63</v>
      </c>
      <c r="D6" s="8" t="s">
        <v>63</v>
      </c>
      <c r="E6" s="8" t="s">
        <v>63</v>
      </c>
      <c r="F6" s="8" t="s">
        <v>63</v>
      </c>
      <c r="G6" s="8">
        <v>1.7411</v>
      </c>
      <c r="H6" s="8">
        <v>11</v>
      </c>
      <c r="I6" s="8">
        <v>0.9866</v>
      </c>
      <c r="J6" s="8">
        <v>69.44</v>
      </c>
      <c r="K6" s="8">
        <v>29.35</v>
      </c>
    </row>
    <row r="7" s="3" customFormat="1" spans="1:11">
      <c r="A7" s="12" t="s">
        <v>65</v>
      </c>
      <c r="B7" s="3">
        <v>0.9286</v>
      </c>
      <c r="C7" s="3" t="s">
        <v>63</v>
      </c>
      <c r="D7" s="3" t="s">
        <v>63</v>
      </c>
      <c r="E7" s="3" t="s">
        <v>63</v>
      </c>
      <c r="F7" s="3" t="s">
        <v>63</v>
      </c>
      <c r="G7" s="3">
        <v>1.6696</v>
      </c>
      <c r="H7" s="3">
        <v>12</v>
      </c>
      <c r="I7" s="3">
        <v>0.9375</v>
      </c>
      <c r="J7" s="11">
        <f t="shared" si="2"/>
        <v>66.6666666666667</v>
      </c>
      <c r="K7" s="11">
        <f t="shared" si="3"/>
        <v>26.0869565217391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zoomScale="85" zoomScaleNormal="85" workbookViewId="0">
      <selection activeCell="A4" sqref="A4"/>
    </sheetView>
  </sheetViews>
  <sheetFormatPr defaultColWidth="9" defaultRowHeight="13.5"/>
  <cols>
    <col min="1" max="1" width="15" customWidth="1"/>
    <col min="2" max="2" width="22.88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22.6666666666667" customWidth="1"/>
    <col min="8" max="8" width="24.1083333333333" customWidth="1"/>
    <col min="9" max="9" width="24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72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0.87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1.65</v>
      </c>
      <c r="H2" s="3">
        <v>1.5</v>
      </c>
      <c r="I2" s="3">
        <v>0.99</v>
      </c>
      <c r="J2" s="35">
        <f>4/5.5*100</f>
        <v>72.7272727272727</v>
      </c>
      <c r="K2" s="3">
        <f>(46+35)/2</f>
        <v>40.5</v>
      </c>
      <c r="L2" s="3" t="s">
        <v>50</v>
      </c>
    </row>
    <row r="3" spans="1:12">
      <c r="A3" s="3" t="s">
        <v>51</v>
      </c>
      <c r="B3" s="3">
        <v>0.83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1.47</v>
      </c>
      <c r="H3" s="3">
        <v>2</v>
      </c>
      <c r="I3" s="3">
        <v>0.93</v>
      </c>
      <c r="J3" s="3">
        <v>63.64</v>
      </c>
      <c r="K3" s="3">
        <v>34.88</v>
      </c>
      <c r="L3" s="3"/>
    </row>
    <row r="4" spans="1:12">
      <c r="A4" s="8" t="s">
        <v>52</v>
      </c>
      <c r="B4" s="8">
        <v>0.89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1.54</v>
      </c>
      <c r="H4" s="8">
        <v>2</v>
      </c>
      <c r="I4" s="8">
        <v>0.93</v>
      </c>
      <c r="J4" s="20">
        <f>(5.5-2)/5.5</f>
        <v>0.636363636363636</v>
      </c>
      <c r="K4" s="21">
        <v>0.3488</v>
      </c>
      <c r="L4" s="8" t="s">
        <v>53</v>
      </c>
    </row>
    <row r="5" spans="1:12">
      <c r="A5" s="3" t="s">
        <v>54</v>
      </c>
      <c r="B5" s="3">
        <v>0.85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1.49</v>
      </c>
      <c r="H5" s="3">
        <v>2</v>
      </c>
      <c r="I5" s="3">
        <v>0.95</v>
      </c>
      <c r="J5" s="22">
        <v>0.636363636363636</v>
      </c>
      <c r="K5" s="22">
        <v>0.348837209302326</v>
      </c>
      <c r="L5" s="3" t="s">
        <v>53</v>
      </c>
    </row>
    <row r="6" s="3" customFormat="1" spans="1:12">
      <c r="A6" s="3" t="s">
        <v>55</v>
      </c>
      <c r="B6" s="9">
        <v>0.8304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1.4732</v>
      </c>
      <c r="H6" s="3">
        <v>2</v>
      </c>
      <c r="I6" s="3">
        <v>0.8571</v>
      </c>
      <c r="J6" s="18">
        <f>(5.5-2)/5.5</f>
        <v>0.636363636363636</v>
      </c>
      <c r="K6" s="13">
        <v>0.3488</v>
      </c>
      <c r="L6" s="3" t="s">
        <v>53</v>
      </c>
    </row>
    <row r="7" s="3" customFormat="1" spans="1:12">
      <c r="A7" s="3" t="s">
        <v>56</v>
      </c>
      <c r="B7" s="3">
        <v>0.83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1.47</v>
      </c>
      <c r="H7" s="10">
        <v>2</v>
      </c>
      <c r="I7" s="3">
        <v>0.93</v>
      </c>
      <c r="J7" s="11">
        <f>(5.5-H7)/5.5*100</f>
        <v>63.6363636363636</v>
      </c>
      <c r="K7" s="11">
        <f>((3/4*4.5+2)-(3/4*H7+2))/(3/4*4.5+2)*100</f>
        <v>34.8837209302326</v>
      </c>
      <c r="L7" s="3" t="s">
        <v>53</v>
      </c>
    </row>
    <row r="8" spans="1:12">
      <c r="A8" s="3" t="s">
        <v>57</v>
      </c>
      <c r="B8" s="3">
        <v>0.83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1.51</v>
      </c>
      <c r="H8" s="3">
        <v>2</v>
      </c>
      <c r="I8" s="3">
        <v>0.93</v>
      </c>
      <c r="J8" s="11">
        <f>(5.5-H8)/5.5*100</f>
        <v>63.6363636363636</v>
      </c>
      <c r="K8" s="11">
        <f>((3/4*4.5+2)-(3/4*H8+2))/(3/4*4.5+2)*100</f>
        <v>34.8837209302326</v>
      </c>
      <c r="L8" s="3" t="s">
        <v>50</v>
      </c>
    </row>
    <row r="9" s="3" customFormat="1" spans="1:12">
      <c r="A9" s="3" t="s">
        <v>58</v>
      </c>
      <c r="B9" s="3">
        <v>0.83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1.47</v>
      </c>
      <c r="H9" s="3">
        <v>2</v>
      </c>
      <c r="I9" s="3">
        <v>0.93</v>
      </c>
      <c r="J9" s="13">
        <v>0.6364</v>
      </c>
      <c r="K9" s="13">
        <v>0.3488</v>
      </c>
      <c r="L9" s="3" t="s">
        <v>53</v>
      </c>
    </row>
    <row r="10" spans="1:12">
      <c r="A10" s="6" t="s">
        <v>59</v>
      </c>
      <c r="B10" s="23">
        <v>0.866</v>
      </c>
      <c r="C10" s="6" t="s">
        <v>49</v>
      </c>
      <c r="D10" s="6" t="s">
        <v>49</v>
      </c>
      <c r="E10" s="6" t="s">
        <v>49</v>
      </c>
      <c r="F10" s="6" t="s">
        <v>49</v>
      </c>
      <c r="G10" s="23">
        <v>1.58</v>
      </c>
      <c r="H10" s="23">
        <v>2</v>
      </c>
      <c r="I10" s="23">
        <v>0.893</v>
      </c>
      <c r="J10" s="23">
        <v>55.6</v>
      </c>
      <c r="K10" s="23">
        <v>34.9</v>
      </c>
      <c r="L10" s="24" t="s">
        <v>60</v>
      </c>
    </row>
    <row r="11" spans="1:11">
      <c r="A11" s="3" t="s">
        <v>61</v>
      </c>
      <c r="B11" s="3">
        <v>0.89</v>
      </c>
      <c r="C11" s="10" t="s">
        <v>49</v>
      </c>
      <c r="D11" s="3" t="s">
        <v>49</v>
      </c>
      <c r="E11" s="11" t="s">
        <v>49</v>
      </c>
      <c r="F11" s="11" t="s">
        <v>49</v>
      </c>
      <c r="G11" s="3">
        <v>1.43</v>
      </c>
      <c r="H11" s="29">
        <v>2</v>
      </c>
      <c r="I11" s="3">
        <v>0.96</v>
      </c>
      <c r="J11" s="3">
        <v>63.64</v>
      </c>
      <c r="K11" s="3">
        <v>34.88</v>
      </c>
    </row>
    <row r="12" spans="1:12">
      <c r="A12" s="8" t="s">
        <v>62</v>
      </c>
      <c r="B12" s="8">
        <v>0.9018</v>
      </c>
      <c r="C12" s="8" t="s">
        <v>63</v>
      </c>
      <c r="D12" s="8" t="s">
        <v>63</v>
      </c>
      <c r="E12" s="8" t="s">
        <v>63</v>
      </c>
      <c r="F12" s="8" t="s">
        <v>63</v>
      </c>
      <c r="G12" s="8">
        <v>1.5446</v>
      </c>
      <c r="H12" s="8">
        <v>2</v>
      </c>
      <c r="I12" s="8">
        <v>1</v>
      </c>
      <c r="J12" s="8">
        <v>63.64</v>
      </c>
      <c r="K12" s="8">
        <v>34.88</v>
      </c>
      <c r="L12" s="8" t="s">
        <v>64</v>
      </c>
    </row>
    <row r="13" s="3" customFormat="1" spans="1:12">
      <c r="A13" s="12" t="s">
        <v>65</v>
      </c>
      <c r="B13" s="3">
        <v>0.8304</v>
      </c>
      <c r="C13" s="3" t="s">
        <v>63</v>
      </c>
      <c r="D13" s="3" t="s">
        <v>63</v>
      </c>
      <c r="E13" s="3" t="s">
        <v>63</v>
      </c>
      <c r="F13" s="3" t="s">
        <v>63</v>
      </c>
      <c r="G13" s="3">
        <v>1.4732</v>
      </c>
      <c r="H13" s="3">
        <v>2</v>
      </c>
      <c r="I13" s="3">
        <v>0.9286</v>
      </c>
      <c r="J13" s="3">
        <v>63.64</v>
      </c>
      <c r="K13" s="3">
        <v>34.88</v>
      </c>
      <c r="L13" s="3" t="s">
        <v>64</v>
      </c>
    </row>
    <row r="14" spans="1:12">
      <c r="A14" s="3" t="s">
        <v>66</v>
      </c>
      <c r="B14" s="3">
        <v>0.82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1.46</v>
      </c>
      <c r="H14" s="3">
        <v>2</v>
      </c>
      <c r="I14" s="3">
        <v>0.89</v>
      </c>
      <c r="J14" s="18">
        <f>(5.5-2)/5.5</f>
        <v>0.636363636363636</v>
      </c>
      <c r="K14" s="13">
        <v>0.3488</v>
      </c>
      <c r="L14" s="3"/>
    </row>
  </sheetData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D15" sqref="D15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 s="3">
        <v>1.69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2.61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">
      <c r="A7" s="2" t="s">
        <v>82</v>
      </c>
    </row>
  </sheetData>
  <pageMargins left="0.699305555555556" right="0.699305555555556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J4" sqref="J4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 s="3">
        <v>1.84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2.83</v>
      </c>
      <c r="H2" s="6" t="s">
        <v>83</v>
      </c>
      <c r="I2" s="6" t="s">
        <v>83</v>
      </c>
      <c r="J2" s="6" t="s">
        <v>83</v>
      </c>
      <c r="K2" s="6" t="s">
        <v>83</v>
      </c>
    </row>
    <row r="7" spans="1:1">
      <c r="A7" s="2" t="s">
        <v>84</v>
      </c>
    </row>
  </sheetData>
  <pageMargins left="0.699305555555556" right="0.699305555555556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D6" sqref="D6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 s="3">
        <v>1.94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2.94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">
      <c r="A7" s="2" t="s">
        <v>85</v>
      </c>
    </row>
  </sheetData>
  <pageMargins left="0.699305555555556" right="0.699305555555556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G5" sqref="G5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>
        <v>1.02</v>
      </c>
      <c r="C2" s="4" t="s">
        <v>81</v>
      </c>
      <c r="D2" s="4" t="s">
        <v>81</v>
      </c>
      <c r="E2" s="4" t="s">
        <v>81</v>
      </c>
      <c r="F2" s="4" t="s">
        <v>81</v>
      </c>
      <c r="G2">
        <v>1.63</v>
      </c>
      <c r="H2" s="4" t="s">
        <v>81</v>
      </c>
      <c r="I2" s="4" t="s">
        <v>81</v>
      </c>
      <c r="J2" s="4" t="s">
        <v>81</v>
      </c>
      <c r="K2" s="4" t="s">
        <v>81</v>
      </c>
    </row>
    <row r="7" spans="1:1">
      <c r="A7" s="2" t="s">
        <v>86</v>
      </c>
    </row>
  </sheetData>
  <pageMargins left="0.699305555555556" right="0.699305555555556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J5" sqref="J5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>
        <v>1.04</v>
      </c>
      <c r="C2" s="4" t="s">
        <v>81</v>
      </c>
      <c r="D2" s="4" t="s">
        <v>81</v>
      </c>
      <c r="E2" s="4" t="s">
        <v>81</v>
      </c>
      <c r="F2" s="4" t="s">
        <v>81</v>
      </c>
      <c r="G2">
        <v>1.66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">
      <c r="A7" s="2" t="s">
        <v>87</v>
      </c>
    </row>
  </sheetData>
  <pageMargins left="0.699305555555556" right="0.699305555555556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C6" sqref="C6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1">
      <c r="A2" s="2" t="s">
        <v>80</v>
      </c>
      <c r="B2" s="3">
        <v>1.11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1.98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">
      <c r="A7" s="2" t="s">
        <v>88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"/>
  <sheetViews>
    <sheetView zoomScale="85" zoomScaleNormal="85" workbookViewId="0">
      <selection activeCell="D33" sqref="D33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11">
        <v>0.83</v>
      </c>
      <c r="C2" s="3" t="s">
        <v>49</v>
      </c>
      <c r="D2" s="3" t="s">
        <v>49</v>
      </c>
      <c r="E2" s="3" t="s">
        <v>49</v>
      </c>
      <c r="F2" s="3" t="s">
        <v>67</v>
      </c>
      <c r="G2" s="3">
        <v>1.65</v>
      </c>
      <c r="H2" s="3">
        <v>2</v>
      </c>
      <c r="I2" s="35">
        <v>1</v>
      </c>
      <c r="J2" s="35">
        <f>3.5/5.5*100</f>
        <v>63.6363636363636</v>
      </c>
      <c r="K2" s="35">
        <f>(38+29)/2</f>
        <v>33.5</v>
      </c>
      <c r="L2" s="3" t="s">
        <v>50</v>
      </c>
    </row>
    <row r="3" spans="1:12">
      <c r="A3" s="3" t="s">
        <v>51</v>
      </c>
      <c r="B3" s="3">
        <v>0.79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</v>
      </c>
      <c r="H3" s="3">
        <v>3</v>
      </c>
      <c r="I3" s="3">
        <v>0.98</v>
      </c>
      <c r="J3" s="3">
        <v>45.45</v>
      </c>
      <c r="K3" s="3">
        <v>20.93</v>
      </c>
      <c r="L3" s="3"/>
    </row>
    <row r="4" spans="1:12">
      <c r="A4" s="8" t="s">
        <v>52</v>
      </c>
      <c r="B4" s="8">
        <v>0.86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1.46</v>
      </c>
      <c r="H4" s="8">
        <v>3</v>
      </c>
      <c r="I4" s="8">
        <v>1</v>
      </c>
      <c r="J4" s="20">
        <f>(5.5-3)/5.5</f>
        <v>0.454545454545455</v>
      </c>
      <c r="K4" s="21">
        <v>0.2093</v>
      </c>
      <c r="L4" s="8" t="s">
        <v>53</v>
      </c>
    </row>
    <row r="5" spans="1:12">
      <c r="A5" s="3" t="s">
        <v>54</v>
      </c>
      <c r="B5" s="3">
        <v>0.82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1.42</v>
      </c>
      <c r="H5" s="3">
        <v>2.5</v>
      </c>
      <c r="I5" s="3">
        <v>1</v>
      </c>
      <c r="J5" s="22">
        <v>0.545454545454545</v>
      </c>
      <c r="K5" s="22">
        <v>0.27906976744186</v>
      </c>
      <c r="L5" s="3" t="s">
        <v>53</v>
      </c>
    </row>
    <row r="6" s="3" customFormat="1" spans="1:12">
      <c r="A6" s="3" t="s">
        <v>55</v>
      </c>
      <c r="B6" s="9">
        <v>0.7946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1.4018</v>
      </c>
      <c r="H6" s="3">
        <v>3</v>
      </c>
      <c r="I6" s="3">
        <v>0.9821</v>
      </c>
      <c r="J6" s="18">
        <f>(5.5-3)/5.5</f>
        <v>0.454545454545455</v>
      </c>
      <c r="K6" s="13">
        <v>0.2093</v>
      </c>
      <c r="L6" s="3" t="s">
        <v>53</v>
      </c>
    </row>
    <row r="7" s="3" customFormat="1" spans="1:12">
      <c r="A7" s="3" t="s">
        <v>56</v>
      </c>
      <c r="B7" s="3">
        <v>0.79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</v>
      </c>
      <c r="H7" s="10">
        <v>3</v>
      </c>
      <c r="I7" s="3">
        <v>0.98</v>
      </c>
      <c r="J7" s="11">
        <f t="shared" ref="J7:J8" si="0">(5.5-H7)/5.5*100</f>
        <v>45.4545454545455</v>
      </c>
      <c r="K7" s="11">
        <f t="shared" ref="K7:K8" si="1">((3/4*4.5+2)-(3/4*H7+2))/(3/4*4.5+2)*100</f>
        <v>20.9302325581395</v>
      </c>
      <c r="L7" s="3" t="s">
        <v>53</v>
      </c>
    </row>
    <row r="8" spans="1:12">
      <c r="A8" s="3" t="s">
        <v>57</v>
      </c>
      <c r="B8" s="3">
        <v>0.79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1.37</v>
      </c>
      <c r="H8" s="3">
        <v>3</v>
      </c>
      <c r="I8" s="3">
        <v>0.98</v>
      </c>
      <c r="J8" s="11">
        <f t="shared" si="0"/>
        <v>45.4545454545455</v>
      </c>
      <c r="K8" s="11">
        <f t="shared" si="1"/>
        <v>20.9302325581395</v>
      </c>
      <c r="L8" s="3" t="s">
        <v>50</v>
      </c>
    </row>
    <row r="9" s="3" customFormat="1" spans="1:12">
      <c r="A9" s="3" t="s">
        <v>58</v>
      </c>
      <c r="B9" s="3">
        <v>0.79</v>
      </c>
      <c r="C9" s="3" t="s">
        <v>49</v>
      </c>
      <c r="D9" s="3" t="s">
        <v>49</v>
      </c>
      <c r="E9" s="3" t="s">
        <v>49</v>
      </c>
      <c r="F9" s="3" t="s">
        <v>68</v>
      </c>
      <c r="G9" s="3">
        <v>1.4</v>
      </c>
      <c r="H9" s="3">
        <v>3</v>
      </c>
      <c r="I9" s="3">
        <v>0.98</v>
      </c>
      <c r="J9" s="13">
        <v>0.4545</v>
      </c>
      <c r="K9" s="13">
        <v>0.2093</v>
      </c>
      <c r="L9" s="3" t="s">
        <v>53</v>
      </c>
    </row>
    <row r="10" s="14" customFormat="1" spans="1:12">
      <c r="A10" s="14" t="s">
        <v>69</v>
      </c>
      <c r="B10" s="14">
        <v>0.79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1.44</v>
      </c>
      <c r="H10" s="14">
        <v>2.5</v>
      </c>
      <c r="I10" s="14">
        <v>0.97</v>
      </c>
      <c r="J10" s="16">
        <v>0.5455</v>
      </c>
      <c r="K10" s="16">
        <v>0.2791</v>
      </c>
      <c r="L10" s="14" t="s">
        <v>50</v>
      </c>
    </row>
    <row r="11" spans="1:12">
      <c r="A11" s="6" t="s">
        <v>59</v>
      </c>
      <c r="B11" s="23">
        <v>0.795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1.43</v>
      </c>
      <c r="H11" s="23">
        <v>3</v>
      </c>
      <c r="I11" s="23">
        <v>0.982</v>
      </c>
      <c r="J11" s="23">
        <v>33.3</v>
      </c>
      <c r="K11" s="23">
        <v>20.9</v>
      </c>
      <c r="L11" s="24" t="s">
        <v>60</v>
      </c>
    </row>
    <row r="12" spans="1:11">
      <c r="A12" s="3" t="s">
        <v>61</v>
      </c>
      <c r="B12" s="34">
        <v>0.86</v>
      </c>
      <c r="C12" s="3" t="s">
        <v>49</v>
      </c>
      <c r="D12" s="3" t="s">
        <v>49</v>
      </c>
      <c r="E12" s="3" t="s">
        <v>49</v>
      </c>
      <c r="F12" s="3" t="s">
        <v>49</v>
      </c>
      <c r="G12" s="34">
        <v>1.37</v>
      </c>
      <c r="H12" s="29">
        <v>2</v>
      </c>
      <c r="I12" s="3">
        <v>0.89</v>
      </c>
      <c r="J12" s="35">
        <f>3.5/5.5*100</f>
        <v>63.6363636363636</v>
      </c>
      <c r="K12" s="11">
        <f>((3/4*4.5+2)-(3/4*H12+2))/(3/4*4.5+2)*100</f>
        <v>34.8837209302326</v>
      </c>
    </row>
    <row r="13" s="3" customFormat="1" spans="1:12">
      <c r="A13" s="8" t="s">
        <v>70</v>
      </c>
      <c r="B13" s="8">
        <v>0.8661</v>
      </c>
      <c r="C13" s="8" t="s">
        <v>63</v>
      </c>
      <c r="D13" s="8" t="s">
        <v>63</v>
      </c>
      <c r="E13" s="8" t="s">
        <v>63</v>
      </c>
      <c r="F13" s="8" t="s">
        <v>63</v>
      </c>
      <c r="G13" s="8">
        <v>1.4732</v>
      </c>
      <c r="H13" s="8">
        <v>2</v>
      </c>
      <c r="I13" s="8">
        <v>0.9643</v>
      </c>
      <c r="J13" s="8">
        <v>63.64</v>
      </c>
      <c r="K13" s="8">
        <v>34.88</v>
      </c>
      <c r="L13" s="8" t="s">
        <v>64</v>
      </c>
    </row>
    <row r="14" s="3" customFormat="1" spans="1:12">
      <c r="A14" s="12" t="s">
        <v>65</v>
      </c>
      <c r="B14" s="3">
        <v>0.7946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1.4018</v>
      </c>
      <c r="H14" s="3">
        <v>3</v>
      </c>
      <c r="I14" s="3">
        <v>0.9821</v>
      </c>
      <c r="J14" s="11">
        <f t="shared" ref="J14" si="2">(5.5-H14)/5.5*100</f>
        <v>45.4545454545455</v>
      </c>
      <c r="K14" s="11">
        <f t="shared" ref="K14" si="3">((3/4*4.5+2)-(3/4*H14+2))/(3/4*4.5+2)*100</f>
        <v>20.9302325581395</v>
      </c>
      <c r="L14" s="3" t="s">
        <v>71</v>
      </c>
    </row>
    <row r="15" spans="1:11">
      <c r="A15" s="3" t="s">
        <v>66</v>
      </c>
      <c r="B15" s="3">
        <v>0.79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1.39</v>
      </c>
      <c r="H15" s="3">
        <v>3</v>
      </c>
      <c r="I15" s="3">
        <v>0.96</v>
      </c>
      <c r="J15" s="18">
        <f>(5.5-3)/5.5</f>
        <v>0.454545454545455</v>
      </c>
      <c r="K15" s="13">
        <v>0.2093</v>
      </c>
    </row>
    <row r="16" s="15" customFormat="1" spans="1:12">
      <c r="A16" s="15" t="s">
        <v>72</v>
      </c>
      <c r="B16" s="15">
        <v>0.79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1.4</v>
      </c>
      <c r="H16" s="15">
        <v>3</v>
      </c>
      <c r="I16" s="15">
        <v>0.98</v>
      </c>
      <c r="J16" s="17">
        <v>0.4545</v>
      </c>
      <c r="K16" s="17">
        <v>0.2093</v>
      </c>
      <c r="L16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zoomScale="85" zoomScaleNormal="85" workbookViewId="0">
      <selection activeCell="A4" sqref="A4:L4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ht="27" spans="1:12">
      <c r="A2" s="3" t="s">
        <v>73</v>
      </c>
      <c r="B2" s="3" t="s">
        <v>64</v>
      </c>
      <c r="C2" s="3">
        <v>5</v>
      </c>
      <c r="D2" s="3">
        <f>(1.04-0.91)/1.04*100</f>
        <v>12.5</v>
      </c>
      <c r="E2" s="11">
        <f>0.5/5.5*100</f>
        <v>9.09090909090909</v>
      </c>
      <c r="F2" s="32" t="s">
        <v>74</v>
      </c>
      <c r="G2" s="3">
        <v>1.87</v>
      </c>
      <c r="H2" s="11">
        <v>0.5</v>
      </c>
      <c r="I2" s="11">
        <v>0.9</v>
      </c>
      <c r="J2" s="11">
        <f>5/5.5</f>
        <v>0.909090909090909</v>
      </c>
      <c r="K2" s="11">
        <f>(62+47)/2</f>
        <v>54.5</v>
      </c>
      <c r="L2" s="3" t="s">
        <v>50</v>
      </c>
    </row>
    <row r="3" spans="1:12">
      <c r="A3" s="3" t="s">
        <v>51</v>
      </c>
      <c r="B3" s="3">
        <v>1.01</v>
      </c>
      <c r="C3" s="3">
        <v>5</v>
      </c>
      <c r="D3" s="3">
        <v>0.87</v>
      </c>
      <c r="E3" s="3">
        <v>9.09</v>
      </c>
      <c r="F3" s="3" t="s">
        <v>75</v>
      </c>
      <c r="G3" s="3">
        <v>1.72</v>
      </c>
      <c r="H3" s="3">
        <v>1</v>
      </c>
      <c r="I3" s="3">
        <v>0.88</v>
      </c>
      <c r="J3" s="3">
        <v>81.82</v>
      </c>
      <c r="K3" s="3">
        <v>48.84</v>
      </c>
      <c r="L3" s="3"/>
    </row>
    <row r="4" spans="1:12">
      <c r="A4" s="8" t="s">
        <v>52</v>
      </c>
      <c r="B4" s="8">
        <v>1.07</v>
      </c>
      <c r="C4" s="8">
        <v>4</v>
      </c>
      <c r="D4" s="8">
        <v>0.89</v>
      </c>
      <c r="E4" s="20">
        <f>(5.5-4)/5.5</f>
        <v>0.272727272727273</v>
      </c>
      <c r="F4" s="21">
        <v>0.0698</v>
      </c>
      <c r="G4" s="8">
        <v>1.79</v>
      </c>
      <c r="H4" s="8">
        <v>1</v>
      </c>
      <c r="I4" s="8">
        <v>0.86</v>
      </c>
      <c r="J4" s="20">
        <f>(5.5-1)/5.5</f>
        <v>0.818181818181818</v>
      </c>
      <c r="K4" s="21">
        <v>0.4884</v>
      </c>
      <c r="L4" s="8" t="s">
        <v>53</v>
      </c>
    </row>
    <row r="5" spans="1:12">
      <c r="A5" s="3" t="s">
        <v>54</v>
      </c>
      <c r="B5" s="3">
        <v>1.03</v>
      </c>
      <c r="C5" s="3">
        <v>4</v>
      </c>
      <c r="D5" s="3">
        <v>0.88</v>
      </c>
      <c r="E5" s="18">
        <f>(5.5-4)/5.5</f>
        <v>0.272727272727273</v>
      </c>
      <c r="F5" s="13">
        <v>0.0698</v>
      </c>
      <c r="G5" s="3">
        <v>1.74</v>
      </c>
      <c r="H5" s="3">
        <v>1</v>
      </c>
      <c r="I5" s="3">
        <v>0.9</v>
      </c>
      <c r="J5" s="22">
        <v>0.818181818181818</v>
      </c>
      <c r="K5" s="22">
        <v>0.488372093023256</v>
      </c>
      <c r="L5" s="3" t="s">
        <v>53</v>
      </c>
    </row>
    <row r="6" s="3" customFormat="1" spans="1:12">
      <c r="A6" s="3" t="s">
        <v>55</v>
      </c>
      <c r="B6" s="9">
        <v>0.9018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1.5446</v>
      </c>
      <c r="H6" s="3" t="s">
        <v>49</v>
      </c>
      <c r="I6" s="3" t="s">
        <v>49</v>
      </c>
      <c r="J6" s="3" t="s">
        <v>49</v>
      </c>
      <c r="K6" s="3" t="s">
        <v>49</v>
      </c>
      <c r="L6" s="3" t="s">
        <v>53</v>
      </c>
    </row>
    <row r="7" s="3" customFormat="1" ht="27" spans="1:12">
      <c r="A7" s="3" t="s">
        <v>56</v>
      </c>
      <c r="B7" s="3">
        <v>1.01</v>
      </c>
      <c r="C7" s="10">
        <v>5</v>
      </c>
      <c r="D7" s="3">
        <v>0.88</v>
      </c>
      <c r="E7" s="11">
        <f>(5.5-C7)/5.5*100</f>
        <v>9.09090909090909</v>
      </c>
      <c r="F7" s="33" t="s">
        <v>74</v>
      </c>
      <c r="G7" s="3">
        <v>1.72</v>
      </c>
      <c r="H7" s="10">
        <v>1</v>
      </c>
      <c r="I7" s="3">
        <v>0.88</v>
      </c>
      <c r="J7" s="11">
        <f t="shared" ref="J7" si="0">(5.5-H7)/5.5*100</f>
        <v>81.8181818181818</v>
      </c>
      <c r="K7" s="11">
        <f t="shared" ref="K7" si="1">((3/4*4.5+2)-(3/4*H7+2))/(3/4*4.5+2)*100</f>
        <v>48.8372093023256</v>
      </c>
      <c r="L7" s="3" t="s">
        <v>53</v>
      </c>
    </row>
    <row r="8" spans="1:12">
      <c r="A8" s="3" t="s">
        <v>57</v>
      </c>
      <c r="B8" s="3">
        <v>1.01</v>
      </c>
      <c r="C8" s="3">
        <v>5</v>
      </c>
      <c r="D8" s="3">
        <v>0.88</v>
      </c>
      <c r="E8" s="11">
        <f>(5.5-C8)/5.5*100</f>
        <v>9.09090909090909</v>
      </c>
      <c r="F8" s="3" t="s">
        <v>49</v>
      </c>
      <c r="G8" s="3">
        <v>1.72</v>
      </c>
      <c r="H8" s="3">
        <v>1</v>
      </c>
      <c r="I8" s="3">
        <v>0.87</v>
      </c>
      <c r="J8" s="11">
        <f t="shared" ref="J8" si="2">(5.5-H8)/5.5*100</f>
        <v>81.8181818181818</v>
      </c>
      <c r="K8" s="11">
        <f t="shared" ref="K8" si="3">((3/4*4.5+2)-(3/4*H8+2))/(3/4*4.5+2)*100</f>
        <v>48.8372093023256</v>
      </c>
      <c r="L8" s="3" t="s">
        <v>50</v>
      </c>
    </row>
    <row r="9" s="3" customFormat="1" spans="1:12">
      <c r="A9" s="3" t="s">
        <v>58</v>
      </c>
      <c r="B9" s="3">
        <v>1.01</v>
      </c>
      <c r="C9" s="3">
        <v>5</v>
      </c>
      <c r="D9" s="3">
        <v>0.87</v>
      </c>
      <c r="E9" s="13">
        <v>0.0909</v>
      </c>
      <c r="F9" s="3" t="s">
        <v>75</v>
      </c>
      <c r="G9" s="3">
        <v>1.67</v>
      </c>
      <c r="H9" s="3">
        <v>1</v>
      </c>
      <c r="I9" s="3">
        <v>0.88</v>
      </c>
      <c r="J9" s="13">
        <v>0.8182</v>
      </c>
      <c r="K9" s="13">
        <v>0.4884</v>
      </c>
      <c r="L9" s="3" t="s">
        <v>50</v>
      </c>
    </row>
    <row r="10" spans="1:12">
      <c r="A10" s="6" t="s">
        <v>59</v>
      </c>
      <c r="B10" s="23">
        <v>1.009</v>
      </c>
      <c r="C10" s="3">
        <v>4.5</v>
      </c>
      <c r="D10" s="3">
        <v>0.973</v>
      </c>
      <c r="E10" s="3">
        <v>18</v>
      </c>
      <c r="F10" s="3">
        <v>0</v>
      </c>
      <c r="G10" s="23">
        <v>1.87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1">
      <c r="A11" s="3" t="s">
        <v>61</v>
      </c>
      <c r="B11" s="34">
        <v>1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1.75</v>
      </c>
      <c r="H11" s="3" t="s">
        <v>49</v>
      </c>
      <c r="I11" s="3" t="s">
        <v>49</v>
      </c>
      <c r="J11" s="3" t="s">
        <v>49</v>
      </c>
      <c r="K11" s="3" t="s">
        <v>49</v>
      </c>
    </row>
    <row r="12" s="8" customFormat="1" spans="1:12">
      <c r="A12" s="8" t="s">
        <v>70</v>
      </c>
      <c r="B12" s="8">
        <v>1.0804</v>
      </c>
      <c r="C12" s="8">
        <v>4.5</v>
      </c>
      <c r="D12" s="8">
        <v>0.9375</v>
      </c>
      <c r="E12" s="8">
        <v>18.18</v>
      </c>
      <c r="F12" s="8">
        <v>0</v>
      </c>
      <c r="G12" s="8">
        <v>1.7946</v>
      </c>
      <c r="H12" s="8">
        <v>1</v>
      </c>
      <c r="I12" s="8">
        <v>0.9464</v>
      </c>
      <c r="J12" s="8">
        <v>81.82</v>
      </c>
      <c r="K12" s="8">
        <v>48.84</v>
      </c>
      <c r="L12" s="8" t="s">
        <v>64</v>
      </c>
    </row>
    <row r="13" s="3" customFormat="1" spans="1:12">
      <c r="A13" s="12" t="s">
        <v>65</v>
      </c>
      <c r="B13" s="3">
        <v>1.0089</v>
      </c>
      <c r="C13" s="3">
        <v>4.5</v>
      </c>
      <c r="D13" s="3">
        <v>0.8661</v>
      </c>
      <c r="E13" s="3">
        <v>18.18</v>
      </c>
      <c r="F13" s="3">
        <v>0</v>
      </c>
      <c r="G13" s="3">
        <v>1.7232</v>
      </c>
      <c r="H13" s="3">
        <v>1</v>
      </c>
      <c r="I13" s="3">
        <v>0.875</v>
      </c>
      <c r="J13" s="3">
        <v>81.82</v>
      </c>
      <c r="K13" s="3">
        <v>48.84</v>
      </c>
      <c r="L13" s="3" t="s">
        <v>64</v>
      </c>
    </row>
    <row r="14" spans="1:11">
      <c r="A14" s="19" t="s">
        <v>66</v>
      </c>
      <c r="B14" s="3">
        <v>1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1.71</v>
      </c>
      <c r="H14" s="3">
        <v>1</v>
      </c>
      <c r="I14" s="3">
        <v>0.86</v>
      </c>
      <c r="J14" s="18">
        <f>(5.5-1)/5.5</f>
        <v>0.818181818181818</v>
      </c>
      <c r="K14" s="13">
        <v>0.4884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"/>
  <sheetViews>
    <sheetView zoomScale="85" zoomScaleNormal="85" workbookViewId="0">
      <selection activeCell="A16" sqref="A16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0.97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1.97</v>
      </c>
      <c r="H2" s="11">
        <v>0.5</v>
      </c>
      <c r="I2" s="11">
        <v>0.9</v>
      </c>
      <c r="J2" s="11">
        <f>5/5.5*100</f>
        <v>90.9090909090909</v>
      </c>
      <c r="K2" s="11">
        <f>(62+47)/2</f>
        <v>54.5</v>
      </c>
      <c r="L2" s="3" t="s">
        <v>50</v>
      </c>
    </row>
    <row r="3" spans="1:12">
      <c r="A3" s="3" t="s">
        <v>51</v>
      </c>
      <c r="B3" s="3">
        <v>0.94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1.62</v>
      </c>
      <c r="H3" s="3">
        <v>1</v>
      </c>
      <c r="I3" s="3">
        <v>0.88</v>
      </c>
      <c r="J3" s="3">
        <v>81.82</v>
      </c>
      <c r="K3" s="3">
        <v>48.84</v>
      </c>
      <c r="L3" s="3"/>
    </row>
    <row r="4" spans="1:12">
      <c r="A4" s="8" t="s">
        <v>52</v>
      </c>
      <c r="B4" s="8">
        <v>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1.68</v>
      </c>
      <c r="H4" s="8">
        <v>1</v>
      </c>
      <c r="I4" s="8">
        <v>0.86</v>
      </c>
      <c r="J4" s="20">
        <f>(5.5-1)/5.5</f>
        <v>0.818181818181818</v>
      </c>
      <c r="K4" s="21">
        <v>0.4884</v>
      </c>
      <c r="L4" s="3" t="s">
        <v>50</v>
      </c>
    </row>
    <row r="5" spans="1:12">
      <c r="A5" s="3" t="s">
        <v>54</v>
      </c>
      <c r="B5" s="3">
        <v>0.96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1.64</v>
      </c>
      <c r="H5" s="3">
        <v>1</v>
      </c>
      <c r="I5" s="3">
        <v>0.9</v>
      </c>
      <c r="J5" s="22">
        <v>0.818181818181818</v>
      </c>
      <c r="K5" s="22">
        <v>0.488372093023256</v>
      </c>
      <c r="L5" s="3"/>
    </row>
    <row r="6" s="3" customFormat="1" spans="1:12">
      <c r="A6" s="3" t="s">
        <v>55</v>
      </c>
      <c r="B6" s="9">
        <v>0.8661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1.5446</v>
      </c>
      <c r="H6" s="3">
        <v>2</v>
      </c>
      <c r="I6" s="3">
        <v>1</v>
      </c>
      <c r="J6" s="28">
        <f>(5.5-2)/5.5</f>
        <v>0.636363636363636</v>
      </c>
      <c r="K6" s="28">
        <f>3/4*(4.5-2)/(3/4*4.5+2)</f>
        <v>0.348837209302326</v>
      </c>
      <c r="L6" s="3" t="s">
        <v>53</v>
      </c>
    </row>
    <row r="7" s="3" customFormat="1" spans="1:12">
      <c r="A7" s="3" t="s">
        <v>56</v>
      </c>
      <c r="B7" s="3">
        <v>0.94</v>
      </c>
      <c r="C7" s="10" t="s">
        <v>49</v>
      </c>
      <c r="D7" s="3" t="s">
        <v>49</v>
      </c>
      <c r="E7" s="3" t="s">
        <v>49</v>
      </c>
      <c r="F7" s="3" t="s">
        <v>49</v>
      </c>
      <c r="G7" s="3">
        <v>1.62</v>
      </c>
      <c r="H7" s="10">
        <v>1</v>
      </c>
      <c r="I7" s="3">
        <v>0.88</v>
      </c>
      <c r="J7" s="11">
        <f t="shared" ref="J7:J8" si="0">(5.5-H7)/5.5*100</f>
        <v>81.8181818181818</v>
      </c>
      <c r="K7" s="11">
        <f t="shared" ref="K7:K8" si="1">((3/4*4.5+2)-(3/4*H7+2))/(3/4*4.5+2)*100</f>
        <v>48.8372093023256</v>
      </c>
      <c r="L7" s="3" t="s">
        <v>53</v>
      </c>
    </row>
    <row r="8" spans="1:12">
      <c r="A8" s="3" t="s">
        <v>57</v>
      </c>
      <c r="B8" s="3">
        <v>0.94</v>
      </c>
      <c r="C8" s="10" t="s">
        <v>49</v>
      </c>
      <c r="D8" s="3" t="s">
        <v>49</v>
      </c>
      <c r="E8" s="3" t="s">
        <v>49</v>
      </c>
      <c r="F8" s="3" t="s">
        <v>49</v>
      </c>
      <c r="G8" s="3">
        <v>1.58</v>
      </c>
      <c r="H8" s="3">
        <v>1</v>
      </c>
      <c r="I8" s="3">
        <v>0.88</v>
      </c>
      <c r="J8" s="11">
        <f t="shared" si="0"/>
        <v>81.8181818181818</v>
      </c>
      <c r="K8" s="11">
        <f t="shared" si="1"/>
        <v>48.8372093023256</v>
      </c>
      <c r="L8" s="3" t="s">
        <v>50</v>
      </c>
    </row>
    <row r="9" s="3" customFormat="1" spans="1:12">
      <c r="A9" s="3" t="s">
        <v>58</v>
      </c>
      <c r="B9" s="3">
        <v>0.94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1.62</v>
      </c>
      <c r="H9" s="3">
        <v>1</v>
      </c>
      <c r="I9" s="3">
        <v>0.88</v>
      </c>
      <c r="J9" s="13">
        <v>0.8182</v>
      </c>
      <c r="K9" s="13">
        <v>0.4884</v>
      </c>
      <c r="L9" s="3" t="s">
        <v>50</v>
      </c>
    </row>
    <row r="10" s="14" customFormat="1" spans="1:12">
      <c r="A10" s="14" t="s">
        <v>69</v>
      </c>
      <c r="B10" s="14">
        <v>0.94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1.72</v>
      </c>
      <c r="H10" s="14">
        <v>1</v>
      </c>
      <c r="I10" s="14">
        <v>0.95</v>
      </c>
      <c r="J10" s="16">
        <v>0.8182</v>
      </c>
      <c r="K10" s="16">
        <v>0.4884</v>
      </c>
      <c r="L10" s="14" t="s">
        <v>50</v>
      </c>
    </row>
    <row r="11" spans="1:12">
      <c r="A11" s="6" t="s">
        <v>59</v>
      </c>
      <c r="B11" s="23">
        <v>0.866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1.72</v>
      </c>
      <c r="H11" s="23">
        <v>0.5</v>
      </c>
      <c r="I11" s="23">
        <v>0.92</v>
      </c>
      <c r="J11" s="23">
        <v>88.9</v>
      </c>
      <c r="K11" s="23">
        <v>55.8</v>
      </c>
      <c r="L11" s="24" t="s">
        <v>60</v>
      </c>
    </row>
    <row r="12" spans="1:11">
      <c r="A12" s="3" t="s">
        <v>61</v>
      </c>
      <c r="B12" s="3">
        <v>1</v>
      </c>
      <c r="C12" s="10" t="s">
        <v>49</v>
      </c>
      <c r="D12" s="3" t="s">
        <v>49</v>
      </c>
      <c r="E12" s="3" t="s">
        <v>49</v>
      </c>
      <c r="F12" s="3" t="s">
        <v>49</v>
      </c>
      <c r="G12" s="3">
        <v>1.68</v>
      </c>
      <c r="H12" s="3" t="s">
        <v>49</v>
      </c>
      <c r="I12" s="3" t="s">
        <v>49</v>
      </c>
      <c r="J12" s="3" t="s">
        <v>49</v>
      </c>
      <c r="K12" s="3" t="s">
        <v>49</v>
      </c>
    </row>
    <row r="13" s="8" customFormat="1" spans="1:12">
      <c r="A13" s="8" t="s">
        <v>70</v>
      </c>
      <c r="B13" s="8">
        <v>1.0089</v>
      </c>
      <c r="C13" s="8">
        <v>4.5</v>
      </c>
      <c r="D13" s="8">
        <v>0.9375</v>
      </c>
      <c r="E13" s="8">
        <v>18.18</v>
      </c>
      <c r="F13" s="8">
        <v>0</v>
      </c>
      <c r="G13" s="8">
        <v>1.6875</v>
      </c>
      <c r="H13" s="8">
        <v>1</v>
      </c>
      <c r="I13" s="8">
        <v>0.9464</v>
      </c>
      <c r="J13" s="8">
        <v>81.82</v>
      </c>
      <c r="K13" s="8">
        <v>48.84</v>
      </c>
      <c r="L13" s="8" t="s">
        <v>64</v>
      </c>
    </row>
    <row r="14" s="3" customFormat="1" spans="1:12">
      <c r="A14" s="12" t="s">
        <v>65</v>
      </c>
      <c r="B14" s="3">
        <v>0.9375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1.6161</v>
      </c>
      <c r="H14" s="3">
        <v>1</v>
      </c>
      <c r="I14" s="3">
        <v>0.875</v>
      </c>
      <c r="J14" s="3">
        <v>81.82</v>
      </c>
      <c r="K14" s="3">
        <v>48.84</v>
      </c>
      <c r="L14" s="3" t="s">
        <v>64</v>
      </c>
    </row>
    <row r="15" spans="1:11">
      <c r="A15" s="19" t="s">
        <v>66</v>
      </c>
      <c r="B15" s="3">
        <v>0.93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1.61</v>
      </c>
      <c r="H15" s="3">
        <v>1</v>
      </c>
      <c r="I15" s="3">
        <v>0.86</v>
      </c>
      <c r="J15" s="18">
        <f>(5.5-1)/5.5</f>
        <v>0.818181818181818</v>
      </c>
      <c r="K15" s="13">
        <v>0.4884</v>
      </c>
    </row>
    <row r="16" s="15" customFormat="1" spans="1:12">
      <c r="A16" s="15" t="s">
        <v>72</v>
      </c>
      <c r="B16" s="15">
        <v>0.94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1.6</v>
      </c>
      <c r="H16" s="15">
        <v>1</v>
      </c>
      <c r="I16" s="15">
        <v>0.88</v>
      </c>
      <c r="J16" s="17">
        <v>0.8182</v>
      </c>
      <c r="K16" s="17">
        <v>0.4884</v>
      </c>
      <c r="L16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zoomScale="85" zoomScaleNormal="85" workbookViewId="0">
      <selection activeCell="K16" sqref="K16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1.15</v>
      </c>
      <c r="C2" s="3">
        <v>2</v>
      </c>
      <c r="D2" s="11">
        <v>0.89</v>
      </c>
      <c r="E2" s="11">
        <f>3.5/5.5*100</f>
        <v>63.6363636363636</v>
      </c>
      <c r="F2" s="11">
        <v>38</v>
      </c>
      <c r="G2" s="3">
        <v>2.15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>
      <c r="A3" s="3" t="s">
        <v>51</v>
      </c>
      <c r="B3" s="3">
        <v>1.12</v>
      </c>
      <c r="C3" s="3">
        <v>2</v>
      </c>
      <c r="D3" s="3">
        <v>0.86</v>
      </c>
      <c r="E3" s="3">
        <v>63.64</v>
      </c>
      <c r="F3" s="3">
        <v>34.88</v>
      </c>
      <c r="G3" s="3">
        <v>1.97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>
      <c r="A4" s="8" t="s">
        <v>52</v>
      </c>
      <c r="B4" s="8">
        <v>1.18</v>
      </c>
      <c r="C4" s="8">
        <v>2</v>
      </c>
      <c r="D4" s="8">
        <v>0.86</v>
      </c>
      <c r="E4" s="20">
        <f>(5.5-2)/5.5</f>
        <v>0.636363636363636</v>
      </c>
      <c r="F4" s="21">
        <v>0.3488</v>
      </c>
      <c r="G4" s="8">
        <v>2.04</v>
      </c>
      <c r="H4" s="8" t="s">
        <v>78</v>
      </c>
      <c r="I4" s="8" t="s">
        <v>49</v>
      </c>
      <c r="J4" s="8" t="s">
        <v>49</v>
      </c>
      <c r="K4" s="8" t="s">
        <v>49</v>
      </c>
      <c r="L4" s="8" t="s">
        <v>53</v>
      </c>
    </row>
    <row r="5" spans="1:12">
      <c r="A5" s="3" t="s">
        <v>54</v>
      </c>
      <c r="B5" s="3">
        <v>1.14</v>
      </c>
      <c r="C5" s="3">
        <v>2</v>
      </c>
      <c r="D5" s="3">
        <v>0.88</v>
      </c>
      <c r="E5" s="18">
        <f>(5.5-2)/5.5</f>
        <v>0.636363636363636</v>
      </c>
      <c r="F5" s="13">
        <v>0.3488</v>
      </c>
      <c r="G5" s="3">
        <v>1.99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="3" customFormat="1" spans="1:12">
      <c r="A6" s="3" t="s">
        <v>55</v>
      </c>
      <c r="B6" s="27">
        <v>1.0089</v>
      </c>
      <c r="C6" s="3">
        <v>5</v>
      </c>
      <c r="D6" s="3">
        <v>0.9821</v>
      </c>
      <c r="E6" s="28">
        <f>(5.5-5)/5.5</f>
        <v>0.0909090909090909</v>
      </c>
      <c r="F6" s="25">
        <v>0</v>
      </c>
      <c r="G6" s="9">
        <v>1.9732</v>
      </c>
      <c r="H6" s="3" t="s">
        <v>49</v>
      </c>
      <c r="I6" s="3" t="s">
        <v>49</v>
      </c>
      <c r="J6" s="3" t="s">
        <v>49</v>
      </c>
      <c r="K6" s="3" t="s">
        <v>49</v>
      </c>
      <c r="L6" s="3" t="s">
        <v>53</v>
      </c>
    </row>
    <row r="7" s="3" customFormat="1" spans="1:12">
      <c r="A7" s="3" t="s">
        <v>56</v>
      </c>
      <c r="B7" s="3">
        <v>1.12</v>
      </c>
      <c r="C7" s="10">
        <v>2</v>
      </c>
      <c r="D7" s="3">
        <v>0.86</v>
      </c>
      <c r="E7" s="11">
        <f t="shared" ref="E7" si="0">(5.5-C7)/5.5*100</f>
        <v>63.6363636363636</v>
      </c>
      <c r="F7" s="11">
        <f t="shared" ref="F7" si="1">(4.5-C7)/(4.5+2)*100</f>
        <v>38.4615384615385</v>
      </c>
      <c r="G7" s="3">
        <v>1.97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>
      <c r="A8" s="3" t="s">
        <v>57</v>
      </c>
      <c r="B8" s="3">
        <v>1.12</v>
      </c>
      <c r="C8" s="3">
        <v>2.25</v>
      </c>
      <c r="D8" s="3">
        <v>0.89</v>
      </c>
      <c r="E8" s="11">
        <f t="shared" ref="E8" si="2">(5.5-C8)/5.5*100</f>
        <v>59.0909090909091</v>
      </c>
      <c r="F8" s="11">
        <f t="shared" ref="F8" si="3">(4.5-C8)/(4.5+2)*100</f>
        <v>34.6153846153846</v>
      </c>
      <c r="G8" s="3">
        <v>1.97</v>
      </c>
      <c r="H8" s="3" t="s">
        <v>79</v>
      </c>
      <c r="I8" s="3" t="s">
        <v>49</v>
      </c>
      <c r="J8" s="11" t="s">
        <v>49</v>
      </c>
      <c r="K8" s="11" t="s">
        <v>49</v>
      </c>
      <c r="L8" s="3" t="s">
        <v>50</v>
      </c>
    </row>
    <row r="9" s="3" customFormat="1" spans="1:12">
      <c r="A9" s="3" t="s">
        <v>58</v>
      </c>
      <c r="B9" s="3">
        <v>1.12</v>
      </c>
      <c r="C9" s="3">
        <v>2</v>
      </c>
      <c r="D9" s="3">
        <v>0.86</v>
      </c>
      <c r="E9" s="13">
        <v>0.6364</v>
      </c>
      <c r="F9" s="13">
        <v>0.3488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pans="1:12">
      <c r="A10" s="6" t="s">
        <v>59</v>
      </c>
      <c r="B10" s="23">
        <v>1.08</v>
      </c>
      <c r="C10" s="3">
        <v>2</v>
      </c>
      <c r="D10" s="3">
        <v>0.964</v>
      </c>
      <c r="E10" s="3">
        <v>63</v>
      </c>
      <c r="F10" s="3">
        <v>34.9</v>
      </c>
      <c r="G10" s="23">
        <v>2.08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1">
      <c r="A11" s="3" t="s">
        <v>61</v>
      </c>
      <c r="B11" s="3">
        <v>1.15</v>
      </c>
      <c r="C11" s="29">
        <v>2</v>
      </c>
      <c r="D11" s="3">
        <v>0.96</v>
      </c>
      <c r="E11" s="11">
        <f>3.5/5.5*100</f>
        <v>63.6363636363636</v>
      </c>
      <c r="F11" s="3">
        <v>34.88</v>
      </c>
      <c r="G11" s="3">
        <v>2.15</v>
      </c>
      <c r="H11" s="3" t="s">
        <v>78</v>
      </c>
      <c r="I11" s="3" t="s">
        <v>49</v>
      </c>
      <c r="J11" s="11" t="s">
        <v>49</v>
      </c>
      <c r="K11" s="11" t="s">
        <v>49</v>
      </c>
    </row>
    <row r="12" s="26" customFormat="1" spans="1:12">
      <c r="A12" s="8" t="s">
        <v>70</v>
      </c>
      <c r="B12" s="30">
        <v>1.1875</v>
      </c>
      <c r="C12" s="30">
        <v>2</v>
      </c>
      <c r="D12" s="30">
        <v>0.9286</v>
      </c>
      <c r="E12" s="30">
        <v>63.64</v>
      </c>
      <c r="F12" s="30">
        <v>38.46</v>
      </c>
      <c r="G12" s="30">
        <v>2.0446</v>
      </c>
      <c r="H12" s="8" t="s">
        <v>78</v>
      </c>
      <c r="I12" s="31" t="s">
        <v>63</v>
      </c>
      <c r="J12" s="21" t="s">
        <v>63</v>
      </c>
      <c r="K12" s="8" t="s">
        <v>63</v>
      </c>
      <c r="L12" s="8" t="s">
        <v>64</v>
      </c>
    </row>
    <row r="13" spans="1:12">
      <c r="A13" s="12" t="s">
        <v>65</v>
      </c>
      <c r="B13" s="11">
        <v>1.1161</v>
      </c>
      <c r="C13" s="11">
        <v>2</v>
      </c>
      <c r="D13" s="11">
        <v>0.8571</v>
      </c>
      <c r="E13" s="11">
        <v>63.64</v>
      </c>
      <c r="F13" s="11">
        <v>38.46</v>
      </c>
      <c r="G13" s="11">
        <v>1.9732</v>
      </c>
      <c r="H13" s="3" t="s">
        <v>78</v>
      </c>
      <c r="I13" s="25" t="s">
        <v>63</v>
      </c>
      <c r="J13" s="13" t="s">
        <v>63</v>
      </c>
      <c r="K13" s="3" t="s">
        <v>63</v>
      </c>
      <c r="L13" s="3" t="s">
        <v>64</v>
      </c>
    </row>
    <row r="14" spans="1:11">
      <c r="A14" s="19" t="s">
        <v>66</v>
      </c>
      <c r="B14" s="3">
        <v>1.11</v>
      </c>
      <c r="C14" s="29">
        <v>2</v>
      </c>
      <c r="D14" s="3">
        <v>0.82</v>
      </c>
      <c r="E14" s="18">
        <f>(5.5-2)/5.5</f>
        <v>0.636363636363636</v>
      </c>
      <c r="F14" s="13">
        <v>0.3488</v>
      </c>
      <c r="G14" s="3">
        <v>1.96</v>
      </c>
      <c r="H14" s="3" t="s">
        <v>78</v>
      </c>
      <c r="I14" s="3" t="s">
        <v>49</v>
      </c>
      <c r="J14" s="3" t="s">
        <v>49</v>
      </c>
      <c r="K14" s="3" t="s">
        <v>49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"/>
  <sheetViews>
    <sheetView zoomScale="85" zoomScaleNormal="85" workbookViewId="0">
      <selection activeCell="A16" sqref="A16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1.15</v>
      </c>
      <c r="C2" s="11">
        <v>3</v>
      </c>
      <c r="D2" s="11">
        <v>0.98</v>
      </c>
      <c r="E2" s="11">
        <f>2.5/5.5*100</f>
        <v>45.4545454545455</v>
      </c>
      <c r="F2" s="11">
        <v>23</v>
      </c>
      <c r="G2" s="3">
        <v>2.22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>
      <c r="A3" s="3" t="s">
        <v>51</v>
      </c>
      <c r="B3" s="3">
        <v>1.12</v>
      </c>
      <c r="C3" s="3">
        <v>3</v>
      </c>
      <c r="D3" s="3">
        <v>0.95</v>
      </c>
      <c r="E3" s="3">
        <v>45.45</v>
      </c>
      <c r="F3" s="3">
        <v>20.93</v>
      </c>
      <c r="G3" s="3">
        <v>1.9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>
      <c r="A4" s="8" t="s">
        <v>52</v>
      </c>
      <c r="B4" s="8">
        <v>1.18</v>
      </c>
      <c r="C4" s="8">
        <v>3</v>
      </c>
      <c r="D4" s="8">
        <v>0.96</v>
      </c>
      <c r="E4" s="20">
        <f>(5.5-3)/5.5</f>
        <v>0.454545454545455</v>
      </c>
      <c r="F4" s="21">
        <v>0.2093</v>
      </c>
      <c r="G4" s="8">
        <v>1.96</v>
      </c>
      <c r="H4" s="8" t="s">
        <v>78</v>
      </c>
      <c r="I4" s="8" t="s">
        <v>49</v>
      </c>
      <c r="J4" s="8" t="s">
        <v>49</v>
      </c>
      <c r="K4" s="8" t="s">
        <v>49</v>
      </c>
      <c r="L4" s="3" t="s">
        <v>53</v>
      </c>
    </row>
    <row r="5" spans="1:12">
      <c r="A5" s="3" t="s">
        <v>54</v>
      </c>
      <c r="B5" s="3">
        <v>1.14</v>
      </c>
      <c r="C5" s="3">
        <v>3</v>
      </c>
      <c r="D5" s="3">
        <v>0.97</v>
      </c>
      <c r="E5" s="18">
        <f>(5.5-3)/5.5</f>
        <v>0.454545454545455</v>
      </c>
      <c r="F5" s="13">
        <v>0.2093</v>
      </c>
      <c r="G5" s="3">
        <v>1.92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="3" customFormat="1" spans="1:12">
      <c r="A6" s="3" t="s">
        <v>55</v>
      </c>
      <c r="B6" s="9">
        <v>0.9732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1.7232</v>
      </c>
      <c r="H6" s="3" t="s">
        <v>49</v>
      </c>
      <c r="I6" s="3" t="s">
        <v>49</v>
      </c>
      <c r="J6" s="3" t="s">
        <v>49</v>
      </c>
      <c r="K6" s="3" t="s">
        <v>49</v>
      </c>
      <c r="L6" s="3" t="s">
        <v>53</v>
      </c>
    </row>
    <row r="7" s="3" customFormat="1" spans="1:12">
      <c r="A7" s="3" t="s">
        <v>56</v>
      </c>
      <c r="B7" s="3">
        <v>1.12</v>
      </c>
      <c r="C7" s="10">
        <v>3</v>
      </c>
      <c r="D7" s="3">
        <v>0.95</v>
      </c>
      <c r="E7" s="11">
        <f t="shared" ref="E7:E8" si="0">(5.5-C7)/5.5*100</f>
        <v>45.4545454545455</v>
      </c>
      <c r="F7" s="11">
        <f t="shared" ref="F7:F8" si="1">(4.5-C7)/(4.5+2)*100</f>
        <v>23.0769230769231</v>
      </c>
      <c r="G7" s="3">
        <v>1.9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>
      <c r="A8" s="3" t="s">
        <v>57</v>
      </c>
      <c r="B8" s="3">
        <v>1.12</v>
      </c>
      <c r="C8" s="3">
        <v>3</v>
      </c>
      <c r="D8" s="3">
        <v>0.95</v>
      </c>
      <c r="E8" s="11">
        <f t="shared" si="0"/>
        <v>45.4545454545455</v>
      </c>
      <c r="F8" s="11">
        <f t="shared" si="1"/>
        <v>23.0769230769231</v>
      </c>
      <c r="G8" s="3">
        <v>1.9</v>
      </c>
      <c r="H8" s="3" t="s">
        <v>49</v>
      </c>
      <c r="I8" s="3" t="s">
        <v>49</v>
      </c>
      <c r="J8" s="11" t="s">
        <v>49</v>
      </c>
      <c r="K8" s="11" t="s">
        <v>49</v>
      </c>
      <c r="L8" s="3" t="s">
        <v>50</v>
      </c>
    </row>
    <row r="9" s="3" customFormat="1" spans="1:12">
      <c r="A9" s="3" t="s">
        <v>58</v>
      </c>
      <c r="B9" s="3">
        <v>1.12</v>
      </c>
      <c r="C9" s="3">
        <v>3</v>
      </c>
      <c r="D9" s="3">
        <v>0.98</v>
      </c>
      <c r="E9" s="13">
        <v>0.4545</v>
      </c>
      <c r="F9" s="13">
        <v>0.2093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="14" customFormat="1" spans="1:12">
      <c r="A10" s="14" t="s">
        <v>69</v>
      </c>
      <c r="B10" s="14">
        <v>1.12</v>
      </c>
      <c r="C10" s="14">
        <v>4</v>
      </c>
      <c r="D10" s="14">
        <v>0.95</v>
      </c>
      <c r="E10" s="16">
        <v>0.2727</v>
      </c>
      <c r="F10" s="16">
        <v>0.0698</v>
      </c>
      <c r="G10" s="14">
        <v>2.08</v>
      </c>
      <c r="H10" s="14" t="s">
        <v>78</v>
      </c>
      <c r="I10" s="14" t="s">
        <v>49</v>
      </c>
      <c r="J10" s="14" t="s">
        <v>49</v>
      </c>
      <c r="K10" s="14" t="s">
        <v>49</v>
      </c>
      <c r="L10" s="14" t="s">
        <v>53</v>
      </c>
    </row>
    <row r="11" spans="1:12">
      <c r="A11" s="6" t="s">
        <v>59</v>
      </c>
      <c r="B11" s="23">
        <v>1.045</v>
      </c>
      <c r="C11" s="3">
        <v>3</v>
      </c>
      <c r="D11" s="3">
        <v>0.929</v>
      </c>
      <c r="E11" s="3">
        <v>45.5</v>
      </c>
      <c r="F11" s="3">
        <v>20.9</v>
      </c>
      <c r="G11" s="23">
        <v>2.08</v>
      </c>
      <c r="H11" s="23" t="s">
        <v>76</v>
      </c>
      <c r="I11" s="23" t="s">
        <v>77</v>
      </c>
      <c r="J11" s="23" t="s">
        <v>77</v>
      </c>
      <c r="K11" s="23" t="s">
        <v>77</v>
      </c>
      <c r="L11" s="24" t="s">
        <v>60</v>
      </c>
    </row>
    <row r="12" spans="1:11">
      <c r="A12" s="3" t="s">
        <v>61</v>
      </c>
      <c r="B12" s="3">
        <v>1.15</v>
      </c>
      <c r="C12" s="6">
        <v>3</v>
      </c>
      <c r="D12" s="3">
        <v>0.93</v>
      </c>
      <c r="E12" s="11">
        <f t="shared" ref="E12:E14" si="2">(5.5-C12)/5.5*100</f>
        <v>45.4545454545455</v>
      </c>
      <c r="F12" s="11">
        <f t="shared" ref="F12" si="3">(4.5-C12)/(4.5+2)*100</f>
        <v>23.0769230769231</v>
      </c>
      <c r="G12" s="3">
        <v>2.15</v>
      </c>
      <c r="H12" s="3" t="s">
        <v>78</v>
      </c>
      <c r="I12" s="3" t="s">
        <v>49</v>
      </c>
      <c r="J12" s="3" t="s">
        <v>49</v>
      </c>
      <c r="K12" s="3" t="s">
        <v>49</v>
      </c>
    </row>
    <row r="13" s="8" customFormat="1" spans="1:12">
      <c r="A13" s="8" t="s">
        <v>70</v>
      </c>
      <c r="B13" s="8">
        <v>1.1875</v>
      </c>
      <c r="C13" s="8">
        <v>2</v>
      </c>
      <c r="D13" s="8">
        <v>0.9286</v>
      </c>
      <c r="E13" s="8">
        <v>63.64</v>
      </c>
      <c r="F13" s="8">
        <v>38.46</v>
      </c>
      <c r="G13" s="8">
        <v>1.9732</v>
      </c>
      <c r="H13" s="8" t="s">
        <v>78</v>
      </c>
      <c r="I13" s="8" t="s">
        <v>63</v>
      </c>
      <c r="J13" s="8" t="s">
        <v>63</v>
      </c>
      <c r="K13" s="8" t="s">
        <v>63</v>
      </c>
      <c r="L13" s="8" t="s">
        <v>64</v>
      </c>
    </row>
    <row r="14" spans="1:12">
      <c r="A14" s="12" t="s">
        <v>65</v>
      </c>
      <c r="B14" s="3">
        <v>1.1161</v>
      </c>
      <c r="C14" s="3">
        <v>3</v>
      </c>
      <c r="D14" s="3">
        <v>0.9464</v>
      </c>
      <c r="E14" s="11">
        <f t="shared" si="2"/>
        <v>45.4545454545455</v>
      </c>
      <c r="F14" s="13">
        <v>0.2093</v>
      </c>
      <c r="G14" s="3">
        <v>1.9018</v>
      </c>
      <c r="H14" s="3" t="s">
        <v>78</v>
      </c>
      <c r="I14" s="25" t="s">
        <v>63</v>
      </c>
      <c r="J14" s="13" t="s">
        <v>63</v>
      </c>
      <c r="K14" s="3" t="s">
        <v>63</v>
      </c>
      <c r="L14" s="3" t="s">
        <v>64</v>
      </c>
    </row>
    <row r="15" spans="1:11">
      <c r="A15" s="19" t="s">
        <v>66</v>
      </c>
      <c r="B15" s="3">
        <v>1.11</v>
      </c>
      <c r="C15" s="3">
        <v>3</v>
      </c>
      <c r="D15" s="3">
        <v>0.93</v>
      </c>
      <c r="E15" s="18">
        <f>(5.5-3)/5.5</f>
        <v>0.454545454545455</v>
      </c>
      <c r="F15" s="13">
        <v>0.2093</v>
      </c>
      <c r="G15" s="3">
        <v>1.89</v>
      </c>
      <c r="H15" s="3" t="s">
        <v>78</v>
      </c>
      <c r="I15" s="3" t="s">
        <v>49</v>
      </c>
      <c r="J15" s="3" t="s">
        <v>49</v>
      </c>
      <c r="K15" s="3" t="s">
        <v>49</v>
      </c>
    </row>
    <row r="16" s="15" customFormat="1" spans="1:12">
      <c r="A16" s="15" t="s">
        <v>72</v>
      </c>
      <c r="B16" s="15">
        <v>1.12</v>
      </c>
      <c r="C16" s="15">
        <v>3</v>
      </c>
      <c r="D16" s="15">
        <v>0.95</v>
      </c>
      <c r="E16" s="17">
        <v>0.4545</v>
      </c>
      <c r="F16" s="17">
        <v>0.2308</v>
      </c>
      <c r="G16" s="15">
        <v>1.85</v>
      </c>
      <c r="H16" s="15" t="s">
        <v>78</v>
      </c>
      <c r="I16" s="15" t="s">
        <v>49</v>
      </c>
      <c r="J16" s="15" t="s">
        <v>49</v>
      </c>
      <c r="K16" s="15" t="s">
        <v>49</v>
      </c>
      <c r="L16" s="15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zoomScale="85" zoomScaleNormal="85" workbookViewId="0">
      <selection activeCell="L15" sqref="L15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11">
        <v>0.67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1.33</v>
      </c>
      <c r="H2" s="11">
        <v>5.5</v>
      </c>
      <c r="I2" s="11">
        <v>1</v>
      </c>
      <c r="J2" s="11">
        <v>50</v>
      </c>
      <c r="K2" s="11">
        <v>24</v>
      </c>
      <c r="L2" s="3" t="s">
        <v>50</v>
      </c>
    </row>
    <row r="3" spans="1:12">
      <c r="A3" s="3" t="s">
        <v>51</v>
      </c>
      <c r="B3" s="3">
        <v>0.65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1.15</v>
      </c>
      <c r="H3" s="3">
        <v>7</v>
      </c>
      <c r="I3" s="3">
        <v>0.96</v>
      </c>
      <c r="J3" s="3">
        <v>36.36</v>
      </c>
      <c r="K3" s="3">
        <v>13.95</v>
      </c>
      <c r="L3" s="3"/>
    </row>
    <row r="4" spans="1:12">
      <c r="A4" s="8" t="s">
        <v>52</v>
      </c>
      <c r="B4" s="8">
        <v>0.71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1.21</v>
      </c>
      <c r="H4" s="8">
        <v>7</v>
      </c>
      <c r="I4" s="8">
        <v>1</v>
      </c>
      <c r="J4" s="20">
        <f>(11-7)/11</f>
        <v>0.363636363636364</v>
      </c>
      <c r="K4" s="21">
        <v>0.1395</v>
      </c>
      <c r="L4" s="8" t="s">
        <v>53</v>
      </c>
    </row>
    <row r="5" spans="1:12">
      <c r="A5" s="3" t="s">
        <v>54</v>
      </c>
      <c r="B5" s="3">
        <v>0.66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1.16</v>
      </c>
      <c r="H5" s="3">
        <v>7</v>
      </c>
      <c r="I5" s="3">
        <v>0.97</v>
      </c>
      <c r="J5" s="22">
        <v>0.363636363636364</v>
      </c>
      <c r="K5" s="22">
        <v>0.13953488372093</v>
      </c>
      <c r="L5" s="3" t="s">
        <v>53</v>
      </c>
    </row>
    <row r="6" s="3" customFormat="1" spans="1:12">
      <c r="A6" s="3" t="s">
        <v>55</v>
      </c>
      <c r="B6" s="9">
        <v>0.6518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1.1518</v>
      </c>
      <c r="H6" s="3">
        <v>7</v>
      </c>
      <c r="I6" s="3">
        <v>0.9196</v>
      </c>
      <c r="J6" s="18">
        <f>(11-7)/11</f>
        <v>0.363636363636364</v>
      </c>
      <c r="K6" s="13">
        <f>3/4*(9-7)/(3/4*9+4)</f>
        <v>0.13953488372093</v>
      </c>
      <c r="L6" s="3" t="s">
        <v>53</v>
      </c>
    </row>
    <row r="7" s="3" customFormat="1" spans="1:12">
      <c r="A7" s="3" t="s">
        <v>56</v>
      </c>
      <c r="B7" s="3">
        <v>0.65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1.15</v>
      </c>
      <c r="H7" s="10">
        <v>7</v>
      </c>
      <c r="I7" s="3">
        <v>0.96</v>
      </c>
      <c r="J7" s="11">
        <f t="shared" ref="J7:J10" si="0">(11-H7)/11*100</f>
        <v>36.3636363636364</v>
      </c>
      <c r="K7" s="11">
        <f t="shared" ref="K7:K10" si="1">((3/4*9+4)-(3/4*H7+4))/(3/4*9+4)*100</f>
        <v>13.953488372093</v>
      </c>
      <c r="L7" s="3" t="s">
        <v>53</v>
      </c>
    </row>
    <row r="8" spans="1:12">
      <c r="A8" s="3" t="s">
        <v>57</v>
      </c>
      <c r="B8" s="3">
        <v>0.65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</v>
      </c>
      <c r="H8" s="3">
        <v>7</v>
      </c>
      <c r="I8" s="3">
        <v>1.96</v>
      </c>
      <c r="J8" s="11">
        <f t="shared" ref="J8" si="2">(11-H8)/11*100</f>
        <v>36.3636363636364</v>
      </c>
      <c r="K8" s="11">
        <f t="shared" ref="K8" si="3">((3/4*9+4)-(3/4*H8+4))/(3/4*9+4)*100</f>
        <v>13.953488372093</v>
      </c>
      <c r="L8" s="3" t="s">
        <v>50</v>
      </c>
    </row>
    <row r="9" s="8" customFormat="1" spans="1:12">
      <c r="A9" s="8" t="s">
        <v>70</v>
      </c>
      <c r="B9" s="8">
        <v>0.7232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1.2232</v>
      </c>
      <c r="H9" s="8">
        <v>6</v>
      </c>
      <c r="I9" s="8">
        <v>0.9643</v>
      </c>
      <c r="J9" s="8">
        <v>45.45</v>
      </c>
      <c r="K9" s="8">
        <v>20.93</v>
      </c>
      <c r="L9" s="8" t="s">
        <v>71</v>
      </c>
    </row>
    <row r="10" s="3" customFormat="1" spans="1:12">
      <c r="A10" s="12" t="s">
        <v>65</v>
      </c>
      <c r="B10" s="3">
        <v>0.6518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1.1518</v>
      </c>
      <c r="H10" s="3">
        <v>7</v>
      </c>
      <c r="I10" s="3">
        <v>0.9554</v>
      </c>
      <c r="J10" s="11">
        <f t="shared" si="0"/>
        <v>36.3636363636364</v>
      </c>
      <c r="K10" s="11">
        <f t="shared" si="1"/>
        <v>13.953488372093</v>
      </c>
      <c r="L10" s="3" t="s">
        <v>71</v>
      </c>
    </row>
    <row r="11" spans="1:11">
      <c r="A11" s="19" t="s">
        <v>66</v>
      </c>
      <c r="B11" s="3">
        <v>0.64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1.14</v>
      </c>
      <c r="H11" s="3">
        <v>7</v>
      </c>
      <c r="I11" s="3">
        <v>0.95</v>
      </c>
      <c r="J11" s="18">
        <f>(11-7)/11</f>
        <v>0.363636363636364</v>
      </c>
      <c r="K11" s="13">
        <v>0.1395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85" zoomScaleNormal="85" workbookViewId="0">
      <selection activeCell="A13" sqref="A13"/>
    </sheetView>
  </sheetViews>
  <sheetFormatPr defaultColWidth="9" defaultRowHeight="13.5"/>
  <cols>
    <col min="1" max="1" width="15" customWidth="1"/>
    <col min="2" max="2" width="20.3333333333333" customWidth="1"/>
    <col min="3" max="3" width="25.6666666666667" customWidth="1"/>
    <col min="4" max="4" width="30.4416666666667" customWidth="1"/>
    <col min="5" max="5" width="14.4416666666667" customWidth="1"/>
    <col min="6" max="6" width="22.5583333333333" customWidth="1"/>
    <col min="7" max="7" width="18.6666666666667" customWidth="1"/>
    <col min="8" max="8" width="24.1083333333333" customWidth="1"/>
    <col min="9" max="9" width="22.5583333333333" customWidth="1"/>
    <col min="10" max="10" width="16.8833333333333" customWidth="1"/>
    <col min="11" max="11" width="19.5583333333333" customWidth="1"/>
    <col min="12" max="12" width="23" customWidth="1"/>
  </cols>
  <sheetData>
    <row r="1" s="7" customFormat="1" ht="46.5" customHeight="1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>
      <c r="A2" s="3" t="s">
        <v>48</v>
      </c>
      <c r="B2" s="3">
        <v>0.63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1.31</v>
      </c>
      <c r="H2" s="11">
        <v>6.5</v>
      </c>
      <c r="I2" s="11">
        <v>1</v>
      </c>
      <c r="J2" s="11">
        <f>4.5/11*100</f>
        <v>40.9090909090909</v>
      </c>
      <c r="K2" s="3">
        <v>17</v>
      </c>
      <c r="L2" s="3" t="s">
        <v>64</v>
      </c>
    </row>
    <row r="3" spans="1:12">
      <c r="A3" s="3" t="s">
        <v>51</v>
      </c>
      <c r="B3" s="3">
        <v>0.62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1.12</v>
      </c>
      <c r="H3" s="3">
        <v>8</v>
      </c>
      <c r="I3" s="3">
        <v>1</v>
      </c>
      <c r="J3" s="3">
        <v>27.27</v>
      </c>
      <c r="K3" s="3">
        <v>6.98</v>
      </c>
      <c r="L3" s="3"/>
    </row>
    <row r="4" spans="1:12">
      <c r="A4" s="8" t="s">
        <v>52</v>
      </c>
      <c r="B4" s="8">
        <v>0.68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1.18</v>
      </c>
      <c r="H4" s="8">
        <v>7</v>
      </c>
      <c r="I4" s="8">
        <v>0.93</v>
      </c>
      <c r="J4" s="20">
        <f>(11-7)/11</f>
        <v>0.363636363636364</v>
      </c>
      <c r="K4" s="21">
        <v>0.1395</v>
      </c>
      <c r="L4" s="3" t="s">
        <v>53</v>
      </c>
    </row>
    <row r="5" spans="1:12">
      <c r="A5" s="3" t="s">
        <v>54</v>
      </c>
      <c r="B5" s="3">
        <v>0.63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1.13</v>
      </c>
      <c r="H5" s="3">
        <v>7</v>
      </c>
      <c r="I5" s="3">
        <v>0.9</v>
      </c>
      <c r="J5" s="22">
        <v>0.363636363636364</v>
      </c>
      <c r="K5" s="22">
        <v>0.13953488372093</v>
      </c>
      <c r="L5" s="3" t="s">
        <v>53</v>
      </c>
    </row>
    <row r="6" s="3" customFormat="1" spans="1:12">
      <c r="A6" s="3" t="s">
        <v>55</v>
      </c>
      <c r="B6" s="9">
        <v>0.6161</v>
      </c>
      <c r="C6" s="3" t="s">
        <v>49</v>
      </c>
      <c r="D6" s="3" t="s">
        <v>49</v>
      </c>
      <c r="E6" s="3" t="s">
        <v>49</v>
      </c>
      <c r="F6" s="3" t="s">
        <v>49</v>
      </c>
      <c r="G6" s="9">
        <v>1.1161</v>
      </c>
      <c r="H6" s="3">
        <v>8</v>
      </c>
      <c r="I6" s="3">
        <v>0.9821</v>
      </c>
      <c r="J6" s="22">
        <f>(11-8)/11</f>
        <v>0.272727272727273</v>
      </c>
      <c r="K6" s="22">
        <f>3/4*(9-8)/(3/4*9+4)</f>
        <v>0.0697674418604651</v>
      </c>
      <c r="L6" s="3" t="s">
        <v>53</v>
      </c>
    </row>
    <row r="7" s="3" customFormat="1" spans="1:12">
      <c r="A7" s="3" t="s">
        <v>56</v>
      </c>
      <c r="B7" s="3">
        <v>0.62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1.12</v>
      </c>
      <c r="H7" s="10">
        <v>8</v>
      </c>
      <c r="I7" s="3">
        <v>1</v>
      </c>
      <c r="J7" s="11">
        <f t="shared" ref="J7" si="0">(11-H7)/11*100</f>
        <v>27.2727272727273</v>
      </c>
      <c r="K7" s="11">
        <f t="shared" ref="K7" si="1">((3/4*9+4)-(3/4*H7+4))/(3/4*9+4)*100</f>
        <v>6.97674418604651</v>
      </c>
      <c r="L7" s="3" t="s">
        <v>53</v>
      </c>
    </row>
    <row r="8" spans="1:12">
      <c r="A8" s="3" t="s">
        <v>57</v>
      </c>
      <c r="B8" s="3">
        <v>0.62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</v>
      </c>
      <c r="H8" s="3">
        <v>8</v>
      </c>
      <c r="I8" s="3">
        <v>1</v>
      </c>
      <c r="J8" s="11">
        <f t="shared" ref="J8" si="2">(11-H8)/11*100</f>
        <v>27.2727272727273</v>
      </c>
      <c r="K8" s="11">
        <f t="shared" ref="K8" si="3">((3/4*9+4)-(3/4*H8+4))/(3/4*9+4)*100</f>
        <v>6.97674418604651</v>
      </c>
      <c r="L8" s="3" t="s">
        <v>50</v>
      </c>
    </row>
    <row r="9" s="14" customFormat="1" spans="1:12">
      <c r="A9" s="14" t="s">
        <v>69</v>
      </c>
      <c r="B9" s="14">
        <v>0.63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1.13</v>
      </c>
      <c r="H9" s="14">
        <v>7</v>
      </c>
      <c r="I9" s="14">
        <v>0.87</v>
      </c>
      <c r="J9" s="16">
        <v>0.3636</v>
      </c>
      <c r="K9" s="16">
        <v>0.1395</v>
      </c>
      <c r="L9" s="14" t="s">
        <v>50</v>
      </c>
    </row>
    <row r="10" s="8" customFormat="1" spans="1:12">
      <c r="A10" s="8" t="s">
        <v>70</v>
      </c>
      <c r="B10" s="8">
        <v>0.6875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1.1875</v>
      </c>
      <c r="H10" s="8">
        <v>7</v>
      </c>
      <c r="I10" s="8">
        <v>0.9554</v>
      </c>
      <c r="J10" s="8">
        <v>36.36</v>
      </c>
      <c r="K10" s="8">
        <v>13.95</v>
      </c>
      <c r="L10" s="8" t="s">
        <v>71</v>
      </c>
    </row>
    <row r="11" s="3" customFormat="1" spans="1:12">
      <c r="A11" s="12" t="s">
        <v>65</v>
      </c>
      <c r="B11" s="3">
        <v>0.6161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1.1161</v>
      </c>
      <c r="H11" s="3">
        <v>8</v>
      </c>
      <c r="I11" s="3">
        <v>1</v>
      </c>
      <c r="J11" s="11">
        <f t="shared" ref="J11" si="4">(11-H11)/11*100</f>
        <v>27.2727272727273</v>
      </c>
      <c r="K11" s="11">
        <f t="shared" ref="K11" si="5">((3/4*9+4)-(3/4*H11+4))/(3/4*9+4)*100</f>
        <v>6.97674418604651</v>
      </c>
      <c r="L11" s="3" t="s">
        <v>71</v>
      </c>
    </row>
    <row r="12" spans="1:11">
      <c r="A12" s="19" t="s">
        <v>66</v>
      </c>
      <c r="B12" s="3">
        <v>0.61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1.11</v>
      </c>
      <c r="H12" s="3">
        <v>7</v>
      </c>
      <c r="I12" s="3">
        <v>0.88</v>
      </c>
      <c r="J12" s="18">
        <f>(11-7)/11</f>
        <v>0.363636363636364</v>
      </c>
      <c r="K12" s="13">
        <v>0.1395</v>
      </c>
    </row>
    <row r="13" s="15" customFormat="1" spans="1:12">
      <c r="A13" s="15" t="s">
        <v>72</v>
      </c>
      <c r="B13" s="15">
        <v>0.62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1.12</v>
      </c>
      <c r="H13" s="15">
        <v>8</v>
      </c>
      <c r="I13" s="15">
        <v>1</v>
      </c>
      <c r="J13" s="17">
        <v>0.2727</v>
      </c>
      <c r="K13" s="17">
        <v>0.0698</v>
      </c>
      <c r="L13" s="1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keywords>CTPClassification=CTP_NT</cp:keywords>
  <cp:lastModifiedBy>Wong, Shin Horng</cp:lastModifiedBy>
  <dcterms:created xsi:type="dcterms:W3CDTF">2019-02-18T06:05:00Z</dcterms:created>
  <cp:lastPrinted>2019-02-22T07:19:00Z</cp:lastPrinted>
  <dcterms:modified xsi:type="dcterms:W3CDTF">2019-02-27T08:13:54Z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NSCPROP_SA">
    <vt:lpwstr>D:\1. Job\2. 3GPP\3. RAN1\TSGR1_96\email_discussion\SR-Based UL Processing Timing Results V10.xlsx</vt:lpwstr>
  </property>
  <property fmtid="{D5CDD505-2E9C-101B-9397-08002B2CF9AE}" pid="4" name="TitusGUID">
    <vt:lpwstr>9f1d215a-dac4-4cfd-8aa4-3f945dc9091f</vt:lpwstr>
  </property>
  <property fmtid="{D5CDD505-2E9C-101B-9397-08002B2CF9AE}" pid="5" name="CTP_TimeStamp">
    <vt:lpwstr>2019-02-22 23:43:02Z</vt:lpwstr>
  </property>
  <property fmtid="{D5CDD505-2E9C-101B-9397-08002B2CF9AE}" pid="6" name="CTP_BU">
    <vt:lpwstr>NA</vt:lpwstr>
  </property>
  <property fmtid="{D5CDD505-2E9C-101B-9397-08002B2CF9AE}" pid="7" name="CTP_IDSID">
    <vt:lpwstr>NA</vt:lpwstr>
  </property>
  <property fmtid="{D5CDD505-2E9C-101B-9397-08002B2CF9AE}" pid="8" name="CTP_WWID">
    <vt:lpwstr>NA</vt:lpwstr>
  </property>
  <property fmtid="{D5CDD505-2E9C-101B-9397-08002B2CF9AE}" pid="9" name="CTPClassification">
    <vt:lpwstr>CTP_NT</vt:lpwstr>
  </property>
</Properties>
</file>